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CSASHARED\CSA Shared Folder\Individual Folders\SR\New folder\OXT\20-2\OXT Research Report - Figs and Data\"/>
    </mc:Choice>
  </mc:AlternateContent>
  <xr:revisionPtr revIDLastSave="0" documentId="13_ncr:1_{05A05051-32D1-4A28-8760-07495D00EF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s" sheetId="4" r:id="rId1"/>
    <sheet name="DISTRIBUTIONS" sheetId="6" r:id="rId2"/>
    <sheet name="Sell Volum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4" l="1"/>
  <c r="G45" i="4"/>
  <c r="E74" i="4"/>
  <c r="F35" i="4"/>
  <c r="E67" i="4"/>
  <c r="F45" i="4"/>
  <c r="F44" i="4"/>
  <c r="E2" i="5"/>
  <c r="F2" i="5"/>
  <c r="E3" i="5"/>
  <c r="F3" i="5"/>
  <c r="E4" i="5"/>
  <c r="F4" i="5"/>
  <c r="G35" i="4"/>
  <c r="E35" i="4"/>
  <c r="E33" i="4"/>
  <c r="E30" i="4"/>
  <c r="F5" i="5" l="1"/>
  <c r="E5" i="5"/>
  <c r="G61" i="4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7" i="6"/>
  <c r="C4" i="6" s="1"/>
  <c r="G3" i="5"/>
  <c r="J11" i="6"/>
  <c r="K11" i="6"/>
  <c r="I3" i="5" s="1"/>
  <c r="L11" i="6"/>
  <c r="J3" i="5" s="1"/>
  <c r="M11" i="6"/>
  <c r="K3" i="5" s="1"/>
  <c r="N11" i="6"/>
  <c r="L3" i="5" s="1"/>
  <c r="O11" i="6"/>
  <c r="M3" i="5" s="1"/>
  <c r="P11" i="6"/>
  <c r="N3" i="5" s="1"/>
  <c r="Q11" i="6"/>
  <c r="O3" i="5" s="1"/>
  <c r="R11" i="6"/>
  <c r="P3" i="5" s="1"/>
  <c r="S11" i="6"/>
  <c r="Q3" i="5" s="1"/>
  <c r="T11" i="6"/>
  <c r="R3" i="5" s="1"/>
  <c r="G2" i="5"/>
  <c r="G4" i="5"/>
  <c r="H4" i="5"/>
  <c r="I4" i="5"/>
  <c r="J4" i="5"/>
  <c r="K4" i="5"/>
  <c r="L4" i="5"/>
  <c r="M4" i="5"/>
  <c r="N4" i="5"/>
  <c r="O4" i="5"/>
  <c r="P4" i="5"/>
  <c r="Q4" i="5"/>
  <c r="R4" i="5"/>
  <c r="S2" i="5"/>
  <c r="H3" i="5" l="1"/>
  <c r="Q5" i="5"/>
  <c r="I5" i="5"/>
  <c r="M5" i="5"/>
  <c r="K5" i="5"/>
  <c r="G5" i="5"/>
  <c r="N5" i="5"/>
  <c r="J5" i="5"/>
  <c r="L5" i="5"/>
  <c r="R5" i="5"/>
  <c r="O5" i="5"/>
  <c r="P5" i="5"/>
  <c r="H5" i="5" l="1"/>
  <c r="J10" i="6"/>
  <c r="K10" i="6" l="1"/>
  <c r="H2" i="5"/>
  <c r="S4" i="5"/>
  <c r="T4" i="5"/>
  <c r="L10" i="6" l="1"/>
  <c r="I2" i="5"/>
  <c r="Z11" i="6"/>
  <c r="AD11" i="6"/>
  <c r="AB3" i="5" s="1"/>
  <c r="AH11" i="6"/>
  <c r="AF3" i="5" s="1"/>
  <c r="AI11" i="6"/>
  <c r="AG3" i="5" s="1"/>
  <c r="AL11" i="6"/>
  <c r="AJ3" i="5" s="1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GA331" i="6"/>
  <c r="E331" i="6" s="1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FX315" i="6"/>
  <c r="E315" i="6" s="1"/>
  <c r="E314" i="6"/>
  <c r="E313" i="6"/>
  <c r="E312" i="6"/>
  <c r="E311" i="6"/>
  <c r="E310" i="6"/>
  <c r="E309" i="6"/>
  <c r="E308" i="6"/>
  <c r="E307" i="6"/>
  <c r="E306" i="6"/>
  <c r="E305" i="6"/>
  <c r="E304" i="6"/>
  <c r="FW303" i="6"/>
  <c r="E303" i="6" s="1"/>
  <c r="E302" i="6"/>
  <c r="FW301" i="6"/>
  <c r="E301" i="6" s="1"/>
  <c r="E300" i="6"/>
  <c r="E299" i="6"/>
  <c r="E298" i="6"/>
  <c r="E297" i="6"/>
  <c r="FW296" i="6"/>
  <c r="E296" i="6" s="1"/>
  <c r="FW295" i="6"/>
  <c r="E295" i="6" s="1"/>
  <c r="E294" i="6"/>
  <c r="E293" i="6"/>
  <c r="E292" i="6"/>
  <c r="E291" i="6"/>
  <c r="FV290" i="6"/>
  <c r="E290" i="6" s="1"/>
  <c r="E289" i="6"/>
  <c r="E288" i="6"/>
  <c r="E287" i="6"/>
  <c r="E286" i="6"/>
  <c r="E285" i="6"/>
  <c r="E284" i="6"/>
  <c r="E283" i="6"/>
  <c r="FU282" i="6"/>
  <c r="FT281" i="6"/>
  <c r="E281" i="6" s="1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FS267" i="6"/>
  <c r="E267" i="6" s="1"/>
  <c r="E266" i="6"/>
  <c r="E265" i="6"/>
  <c r="E264" i="6"/>
  <c r="FS263" i="6"/>
  <c r="E263" i="6" s="1"/>
  <c r="E262" i="6"/>
  <c r="E261" i="6"/>
  <c r="E260" i="6"/>
  <c r="FS259" i="6"/>
  <c r="E259" i="6" s="1"/>
  <c r="E258" i="6"/>
  <c r="E257" i="6"/>
  <c r="E256" i="6"/>
  <c r="E255" i="6"/>
  <c r="E254" i="6"/>
  <c r="E253" i="6"/>
  <c r="E252" i="6"/>
  <c r="FR251" i="6"/>
  <c r="E251" i="6" s="1"/>
  <c r="FR250" i="6"/>
  <c r="E250" i="6" s="1"/>
  <c r="E249" i="6"/>
  <c r="FR248" i="6"/>
  <c r="E248" i="6" s="1"/>
  <c r="E247" i="6"/>
  <c r="FR246" i="6"/>
  <c r="E246" i="6" s="1"/>
  <c r="FR245" i="6"/>
  <c r="E245" i="6" s="1"/>
  <c r="FR244" i="6"/>
  <c r="E243" i="6"/>
  <c r="E242" i="6"/>
  <c r="FO241" i="6"/>
  <c r="E241" i="6" s="1"/>
  <c r="FO240" i="6"/>
  <c r="E240" i="6" s="1"/>
  <c r="FO239" i="6"/>
  <c r="E239" i="6" s="1"/>
  <c r="FP238" i="6"/>
  <c r="FO238" i="6"/>
  <c r="FO237" i="6"/>
  <c r="E237" i="6" s="1"/>
  <c r="FO236" i="6"/>
  <c r="E236" i="6" s="1"/>
  <c r="FO235" i="6"/>
  <c r="E235" i="6" s="1"/>
  <c r="FO234" i="6"/>
  <c r="E234" i="6" s="1"/>
  <c r="FP233" i="6"/>
  <c r="FO233" i="6"/>
  <c r="FO232" i="6"/>
  <c r="E232" i="6" s="1"/>
  <c r="FO231" i="6"/>
  <c r="E231" i="6" s="1"/>
  <c r="FP230" i="6"/>
  <c r="E230" i="6" s="1"/>
  <c r="FP229" i="6"/>
  <c r="FO229" i="6"/>
  <c r="FO228" i="6"/>
  <c r="FO227" i="6"/>
  <c r="E227" i="6" s="1"/>
  <c r="FP226" i="6"/>
  <c r="E226" i="6" s="1"/>
  <c r="FP225" i="6"/>
  <c r="FO225" i="6"/>
  <c r="FP224" i="6"/>
  <c r="E224" i="6" s="1"/>
  <c r="FP223" i="6"/>
  <c r="FO223" i="6"/>
  <c r="FA222" i="6"/>
  <c r="EF222" i="6"/>
  <c r="E221" i="6"/>
  <c r="E220" i="6"/>
  <c r="FA219" i="6"/>
  <c r="E219" i="6" s="1"/>
  <c r="E218" i="6"/>
  <c r="E217" i="6"/>
  <c r="EF216" i="6"/>
  <c r="EF215" i="6"/>
  <c r="E215" i="6" s="1"/>
  <c r="FA214" i="6"/>
  <c r="EG214" i="6"/>
  <c r="E213" i="6"/>
  <c r="E212" i="6"/>
  <c r="E211" i="6"/>
  <c r="EF210" i="6"/>
  <c r="E210" i="6" s="1"/>
  <c r="E209" i="6"/>
  <c r="E208" i="6"/>
  <c r="E207" i="6"/>
  <c r="E206" i="6"/>
  <c r="E205" i="6"/>
  <c r="E204" i="6"/>
  <c r="EF203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A182" i="6"/>
  <c r="E182" i="6" s="1"/>
  <c r="E181" i="6"/>
  <c r="E180" i="6"/>
  <c r="EA179" i="6"/>
  <c r="DZ179" i="6"/>
  <c r="E178" i="6"/>
  <c r="E177" i="6"/>
  <c r="E176" i="6"/>
  <c r="E175" i="6"/>
  <c r="E174" i="6"/>
  <c r="E173" i="6"/>
  <c r="E172" i="6"/>
  <c r="DY171" i="6"/>
  <c r="E171" i="6" s="1"/>
  <c r="E170" i="6"/>
  <c r="E169" i="6"/>
  <c r="E168" i="6"/>
  <c r="E167" i="6"/>
  <c r="DY166" i="6"/>
  <c r="E166" i="6" s="1"/>
  <c r="DY165" i="6"/>
  <c r="E165" i="6"/>
  <c r="DY164" i="6"/>
  <c r="DX163" i="6"/>
  <c r="DV163" i="6"/>
  <c r="E163" i="6"/>
  <c r="E162" i="6"/>
  <c r="DX161" i="6"/>
  <c r="DU161" i="6"/>
  <c r="E161" i="6"/>
  <c r="E160" i="6"/>
  <c r="DV159" i="6"/>
  <c r="E159" i="6" s="1"/>
  <c r="DX158" i="6"/>
  <c r="DU158" i="6"/>
  <c r="DU157" i="6"/>
  <c r="E157" i="6" s="1"/>
  <c r="DX156" i="6"/>
  <c r="E156" i="6" s="1"/>
  <c r="DV156" i="6"/>
  <c r="DV155" i="6"/>
  <c r="E155" i="6" s="1"/>
  <c r="DT154" i="6"/>
  <c r="E154" i="6" s="1"/>
  <c r="DT153" i="6"/>
  <c r="E153" i="6" s="1"/>
  <c r="DT152" i="6"/>
  <c r="E152" i="6"/>
  <c r="DT151" i="6"/>
  <c r="DT150" i="6"/>
  <c r="E150" i="6" s="1"/>
  <c r="E149" i="6"/>
  <c r="DT148" i="6"/>
  <c r="E148" i="6" s="1"/>
  <c r="DT147" i="6"/>
  <c r="E147" i="6" s="1"/>
  <c r="E146" i="6"/>
  <c r="E145" i="6"/>
  <c r="E144" i="6"/>
  <c r="E143" i="6"/>
  <c r="E142" i="6"/>
  <c r="E141" i="6"/>
  <c r="E140" i="6"/>
  <c r="DS139" i="6"/>
  <c r="E139" i="6" s="1"/>
  <c r="E138" i="6"/>
  <c r="DS137" i="6"/>
  <c r="DR137" i="6"/>
  <c r="DS136" i="6"/>
  <c r="DR136" i="6"/>
  <c r="DS135" i="6"/>
  <c r="DR135" i="6"/>
  <c r="DS134" i="6"/>
  <c r="DR134" i="6"/>
  <c r="DS133" i="6"/>
  <c r="DR133" i="6"/>
  <c r="DS132" i="6"/>
  <c r="DR132" i="6"/>
  <c r="DS131" i="6"/>
  <c r="DR131" i="6"/>
  <c r="E131" i="6" s="1"/>
  <c r="DS130" i="6"/>
  <c r="DR130" i="6"/>
  <c r="DS129" i="6"/>
  <c r="DR129" i="6"/>
  <c r="DS128" i="6"/>
  <c r="DR128" i="6"/>
  <c r="E127" i="6"/>
  <c r="DO126" i="6"/>
  <c r="DN126" i="6"/>
  <c r="DQ125" i="6"/>
  <c r="DO125" i="6"/>
  <c r="DQ124" i="6"/>
  <c r="E124" i="6" s="1"/>
  <c r="DQ123" i="6"/>
  <c r="E123" i="6" s="1"/>
  <c r="E122" i="6"/>
  <c r="DQ121" i="6"/>
  <c r="DO121" i="6"/>
  <c r="E121" i="6" s="1"/>
  <c r="DQ120" i="6"/>
  <c r="DO120" i="6"/>
  <c r="DQ119" i="6"/>
  <c r="E119" i="6" s="1"/>
  <c r="E118" i="6"/>
  <c r="DQ117" i="6"/>
  <c r="DO117" i="6"/>
  <c r="DQ116" i="6"/>
  <c r="E116" i="6" s="1"/>
  <c r="DQ115" i="6"/>
  <c r="E115" i="6" s="1"/>
  <c r="DQ114" i="6"/>
  <c r="DO114" i="6"/>
  <c r="DQ113" i="6"/>
  <c r="DP113" i="6"/>
  <c r="DP112" i="6"/>
  <c r="DO112" i="6"/>
  <c r="DQ111" i="6"/>
  <c r="DO111" i="6"/>
  <c r="DM111" i="6"/>
  <c r="DQ110" i="6"/>
  <c r="E110" i="6" s="1"/>
  <c r="DQ109" i="6"/>
  <c r="DO109" i="6"/>
  <c r="DM109" i="6"/>
  <c r="DQ108" i="6"/>
  <c r="DN108" i="6"/>
  <c r="DL107" i="6"/>
  <c r="DK107" i="6"/>
  <c r="DL106" i="6"/>
  <c r="E106" i="6" s="1"/>
  <c r="E105" i="6"/>
  <c r="DL104" i="6"/>
  <c r="E104" i="6" s="1"/>
  <c r="DJ103" i="6"/>
  <c r="E103" i="6" s="1"/>
  <c r="DL102" i="6"/>
  <c r="E102" i="6" s="1"/>
  <c r="DL101" i="6"/>
  <c r="DK101" i="6"/>
  <c r="DM100" i="6"/>
  <c r="DL100" i="6"/>
  <c r="DK100" i="6"/>
  <c r="DL99" i="6"/>
  <c r="E99" i="6" s="1"/>
  <c r="DL98" i="6"/>
  <c r="E98" i="6" s="1"/>
  <c r="DL97" i="6"/>
  <c r="E97" i="6" s="1"/>
  <c r="DL96" i="6"/>
  <c r="DJ96" i="6"/>
  <c r="DM95" i="6"/>
  <c r="DL95" i="6"/>
  <c r="DK95" i="6"/>
  <c r="DJ95" i="6"/>
  <c r="DL94" i="6"/>
  <c r="DK94" i="6"/>
  <c r="DJ94" i="6"/>
  <c r="DL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BD59" i="6"/>
  <c r="BD11" i="6" s="1"/>
  <c r="BB3" i="5" s="1"/>
  <c r="ED11" i="6"/>
  <c r="EC11" i="6"/>
  <c r="EA3" i="5" s="1"/>
  <c r="EB11" i="6"/>
  <c r="DZ3" i="5" s="1"/>
  <c r="DH11" i="6"/>
  <c r="DF3" i="5" s="1"/>
  <c r="DF11" i="6"/>
  <c r="DD3" i="5" s="1"/>
  <c r="DE11" i="6"/>
  <c r="DC3" i="5" s="1"/>
  <c r="DD11" i="6"/>
  <c r="DB3" i="5" s="1"/>
  <c r="DB11" i="6"/>
  <c r="CZ3" i="5" s="1"/>
  <c r="DA11" i="6"/>
  <c r="CY3" i="5" s="1"/>
  <c r="CZ11" i="6"/>
  <c r="CX3" i="5" s="1"/>
  <c r="CX11" i="6"/>
  <c r="CW11" i="6"/>
  <c r="CU3" i="5" s="1"/>
  <c r="CV11" i="6"/>
  <c r="CT3" i="5" s="1"/>
  <c r="CT11" i="6"/>
  <c r="CP11" i="6"/>
  <c r="CO11" i="6"/>
  <c r="CM3" i="5" s="1"/>
  <c r="CN11" i="6"/>
  <c r="CL3" i="5" s="1"/>
  <c r="CL11" i="6"/>
  <c r="CJ3" i="5" s="1"/>
  <c r="CK11" i="6"/>
  <c r="CI3" i="5" s="1"/>
  <c r="CH11" i="6"/>
  <c r="CF3" i="5" s="1"/>
  <c r="CG11" i="6"/>
  <c r="CE3" i="5" s="1"/>
  <c r="CF11" i="6"/>
  <c r="CD3" i="5" s="1"/>
  <c r="CD11" i="6"/>
  <c r="CB11" i="6"/>
  <c r="BZ3" i="5" s="1"/>
  <c r="BZ11" i="6"/>
  <c r="BX3" i="5" s="1"/>
  <c r="BY11" i="6"/>
  <c r="BW3" i="5" s="1"/>
  <c r="BX11" i="6"/>
  <c r="BV3" i="5" s="1"/>
  <c r="BV11" i="6"/>
  <c r="BT3" i="5" s="1"/>
  <c r="BU11" i="6"/>
  <c r="BS3" i="5" s="1"/>
  <c r="BT11" i="6"/>
  <c r="BR3" i="5" s="1"/>
  <c r="BR11" i="6"/>
  <c r="BQ11" i="6"/>
  <c r="BO3" i="5" s="1"/>
  <c r="BP11" i="6"/>
  <c r="BN3" i="5" s="1"/>
  <c r="BN11" i="6"/>
  <c r="BL3" i="5" s="1"/>
  <c r="BL11" i="6"/>
  <c r="BJ3" i="5" s="1"/>
  <c r="BJ11" i="6"/>
  <c r="BH3" i="5" s="1"/>
  <c r="BI11" i="6"/>
  <c r="BG3" i="5" s="1"/>
  <c r="BF11" i="6"/>
  <c r="BD3" i="5" s="1"/>
  <c r="BE11" i="6"/>
  <c r="BC3" i="5" s="1"/>
  <c r="BB11" i="6"/>
  <c r="AZ3" i="5" s="1"/>
  <c r="BA11" i="6"/>
  <c r="AY3" i="5" s="1"/>
  <c r="AX11" i="6"/>
  <c r="AV3" i="5" s="1"/>
  <c r="AV11" i="6"/>
  <c r="AT3" i="5" s="1"/>
  <c r="AT11" i="6"/>
  <c r="AR3" i="5" s="1"/>
  <c r="AS11" i="6"/>
  <c r="AQ3" i="5" s="1"/>
  <c r="AR11" i="6"/>
  <c r="AP3" i="5" s="1"/>
  <c r="AP11" i="6"/>
  <c r="AO11" i="6"/>
  <c r="AM3" i="5" s="1"/>
  <c r="AN11" i="6"/>
  <c r="AL3" i="5" s="1"/>
  <c r="HK11" i="6"/>
  <c r="HJ11" i="6"/>
  <c r="HH3" i="5" s="1"/>
  <c r="HI11" i="6"/>
  <c r="HG3" i="5" s="1"/>
  <c r="HH11" i="6"/>
  <c r="HG11" i="6"/>
  <c r="HF11" i="6"/>
  <c r="HD3" i="5" s="1"/>
  <c r="HE11" i="6"/>
  <c r="HC3" i="5" s="1"/>
  <c r="HD11" i="6"/>
  <c r="HB3" i="5" s="1"/>
  <c r="HC11" i="6"/>
  <c r="HB11" i="6"/>
  <c r="GZ3" i="5" s="1"/>
  <c r="HA11" i="6"/>
  <c r="GY3" i="5" s="1"/>
  <c r="GZ11" i="6"/>
  <c r="GX3" i="5" s="1"/>
  <c r="GY11" i="6"/>
  <c r="GX11" i="6"/>
  <c r="GW11" i="6"/>
  <c r="GU3" i="5" s="1"/>
  <c r="GV11" i="6"/>
  <c r="GT3" i="5" s="1"/>
  <c r="GU11" i="6"/>
  <c r="GT11" i="6"/>
  <c r="GR3" i="5" s="1"/>
  <c r="GS11" i="6"/>
  <c r="GQ3" i="5" s="1"/>
  <c r="GR11" i="6"/>
  <c r="GQ11" i="6"/>
  <c r="GP11" i="6"/>
  <c r="GN3" i="5" s="1"/>
  <c r="GO11" i="6"/>
  <c r="GM3" i="5" s="1"/>
  <c r="GN11" i="6"/>
  <c r="GL3" i="5" s="1"/>
  <c r="GM11" i="6"/>
  <c r="GL11" i="6"/>
  <c r="GJ3" i="5" s="1"/>
  <c r="GK11" i="6"/>
  <c r="GI3" i="5" s="1"/>
  <c r="GJ11" i="6"/>
  <c r="GH3" i="5" s="1"/>
  <c r="GI11" i="6"/>
  <c r="GH11" i="6"/>
  <c r="GF3" i="5" s="1"/>
  <c r="GG11" i="6"/>
  <c r="GE3" i="5" s="1"/>
  <c r="GF11" i="6"/>
  <c r="GD3" i="5" s="1"/>
  <c r="GE11" i="6"/>
  <c r="GD11" i="6"/>
  <c r="GB3" i="5" s="1"/>
  <c r="GC11" i="6"/>
  <c r="GA3" i="5" s="1"/>
  <c r="GB11" i="6"/>
  <c r="FZ3" i="5" s="1"/>
  <c r="FZ11" i="6"/>
  <c r="FY11" i="6"/>
  <c r="FW3" i="5" s="1"/>
  <c r="FV11" i="6"/>
  <c r="FT3" i="5" s="1"/>
  <c r="FT11" i="6"/>
  <c r="FR3" i="5" s="1"/>
  <c r="FQ11" i="6"/>
  <c r="FN11" i="6"/>
  <c r="FL3" i="5" s="1"/>
  <c r="FM11" i="6"/>
  <c r="FK3" i="5" s="1"/>
  <c r="FL11" i="6"/>
  <c r="FJ3" i="5" s="1"/>
  <c r="FK11" i="6"/>
  <c r="FI3" i="5" s="1"/>
  <c r="FJ11" i="6"/>
  <c r="FH3" i="5" s="1"/>
  <c r="FI11" i="6"/>
  <c r="FG3" i="5" s="1"/>
  <c r="FH11" i="6"/>
  <c r="FF3" i="5" s="1"/>
  <c r="FG11" i="6"/>
  <c r="FE3" i="5" s="1"/>
  <c r="FF11" i="6"/>
  <c r="FD3" i="5" s="1"/>
  <c r="FE11" i="6"/>
  <c r="FC3" i="5" s="1"/>
  <c r="FD11" i="6"/>
  <c r="FB3" i="5" s="1"/>
  <c r="FC11" i="6"/>
  <c r="FA3" i="5" s="1"/>
  <c r="FB11" i="6"/>
  <c r="EZ3" i="5" s="1"/>
  <c r="EZ11" i="6"/>
  <c r="EX3" i="5" s="1"/>
  <c r="EY11" i="6"/>
  <c r="EW3" i="5" s="1"/>
  <c r="EX11" i="6"/>
  <c r="EV3" i="5" s="1"/>
  <c r="EW11" i="6"/>
  <c r="EU3" i="5" s="1"/>
  <c r="EV11" i="6"/>
  <c r="ET3" i="5" s="1"/>
  <c r="EU11" i="6"/>
  <c r="ES3" i="5" s="1"/>
  <c r="ET11" i="6"/>
  <c r="ER3" i="5" s="1"/>
  <c r="ES11" i="6"/>
  <c r="EQ3" i="5" s="1"/>
  <c r="ER11" i="6"/>
  <c r="EP3" i="5" s="1"/>
  <c r="EQ11" i="6"/>
  <c r="EO3" i="5" s="1"/>
  <c r="EP11" i="6"/>
  <c r="EN3" i="5" s="1"/>
  <c r="EO11" i="6"/>
  <c r="EM3" i="5" s="1"/>
  <c r="EN11" i="6"/>
  <c r="EL3" i="5" s="1"/>
  <c r="EM11" i="6"/>
  <c r="EK3" i="5" s="1"/>
  <c r="EL11" i="6"/>
  <c r="EJ3" i="5" s="1"/>
  <c r="EK11" i="6"/>
  <c r="EI3" i="5" s="1"/>
  <c r="EJ11" i="6"/>
  <c r="EH3" i="5" s="1"/>
  <c r="EI11" i="6"/>
  <c r="EG3" i="5" s="1"/>
  <c r="EH11" i="6"/>
  <c r="EF3" i="5" s="1"/>
  <c r="EG11" i="6"/>
  <c r="EE3" i="5" s="1"/>
  <c r="EE11" i="6"/>
  <c r="EC3" i="5" s="1"/>
  <c r="DW11" i="6"/>
  <c r="DU3" i="5" s="1"/>
  <c r="DI11" i="6"/>
  <c r="DG3" i="5" s="1"/>
  <c r="DG11" i="6"/>
  <c r="DC11" i="6"/>
  <c r="DA3" i="5" s="1"/>
  <c r="CY11" i="6"/>
  <c r="CW3" i="5" s="1"/>
  <c r="CU11" i="6"/>
  <c r="CS3" i="5" s="1"/>
  <c r="CS11" i="6"/>
  <c r="CR11" i="6"/>
  <c r="CP3" i="5" s="1"/>
  <c r="CQ11" i="6"/>
  <c r="CO3" i="5" s="1"/>
  <c r="CM11" i="6"/>
  <c r="CK3" i="5" s="1"/>
  <c r="CJ11" i="6"/>
  <c r="CH3" i="5" s="1"/>
  <c r="CI11" i="6"/>
  <c r="CG3" i="5" s="1"/>
  <c r="CE11" i="6"/>
  <c r="CC3" i="5" s="1"/>
  <c r="CC11" i="6"/>
  <c r="CA3" i="5" s="1"/>
  <c r="CA11" i="6"/>
  <c r="BW11" i="6"/>
  <c r="BU3" i="5" s="1"/>
  <c r="BS11" i="6"/>
  <c r="BQ3" i="5" s="1"/>
  <c r="BO11" i="6"/>
  <c r="BM3" i="5" s="1"/>
  <c r="BM11" i="6"/>
  <c r="BK3" i="5" s="1"/>
  <c r="BK11" i="6"/>
  <c r="BH11" i="6"/>
  <c r="BF3" i="5" s="1"/>
  <c r="BG11" i="6"/>
  <c r="BE3" i="5" s="1"/>
  <c r="BC11" i="6"/>
  <c r="BA3" i="5" s="1"/>
  <c r="AZ11" i="6"/>
  <c r="AX3" i="5" s="1"/>
  <c r="AY11" i="6"/>
  <c r="AW3" i="5" s="1"/>
  <c r="AW11" i="6"/>
  <c r="AU3" i="5" s="1"/>
  <c r="AU11" i="6"/>
  <c r="AS3" i="5" s="1"/>
  <c r="AQ11" i="6"/>
  <c r="AO3" i="5" s="1"/>
  <c r="AM11" i="6"/>
  <c r="AK3" i="5" s="1"/>
  <c r="AK11" i="6"/>
  <c r="AI3" i="5" s="1"/>
  <c r="AF11" i="6"/>
  <c r="AD3" i="5" s="1"/>
  <c r="AB11" i="6"/>
  <c r="Z3" i="5" s="1"/>
  <c r="Y11" i="6"/>
  <c r="W3" i="5" s="1"/>
  <c r="X11" i="6"/>
  <c r="V3" i="5" s="1"/>
  <c r="W11" i="6"/>
  <c r="U3" i="5" s="1"/>
  <c r="V11" i="6"/>
  <c r="T3" i="5" s="1"/>
  <c r="T5" i="5" s="1"/>
  <c r="U11" i="6"/>
  <c r="V10" i="6"/>
  <c r="HI4" i="5"/>
  <c r="HH4" i="5"/>
  <c r="HG4" i="5"/>
  <c r="HF4" i="5"/>
  <c r="HE4" i="5"/>
  <c r="HD4" i="5"/>
  <c r="HC4" i="5"/>
  <c r="HB4" i="5"/>
  <c r="HA4" i="5"/>
  <c r="GZ4" i="5"/>
  <c r="GY4" i="5"/>
  <c r="GX4" i="5"/>
  <c r="GW4" i="5"/>
  <c r="GV4" i="5"/>
  <c r="GU4" i="5"/>
  <c r="GT4" i="5"/>
  <c r="GS4" i="5"/>
  <c r="GR4" i="5"/>
  <c r="GQ4" i="5"/>
  <c r="GP4" i="5"/>
  <c r="GO4" i="5"/>
  <c r="GN4" i="5"/>
  <c r="GM4" i="5"/>
  <c r="GL4" i="5"/>
  <c r="GK4" i="5"/>
  <c r="GJ4" i="5"/>
  <c r="GI4" i="5"/>
  <c r="GH4" i="5"/>
  <c r="GG4" i="5"/>
  <c r="GF4" i="5"/>
  <c r="GE4" i="5"/>
  <c r="GD4" i="5"/>
  <c r="GC4" i="5"/>
  <c r="GB4" i="5"/>
  <c r="GA4" i="5"/>
  <c r="FZ4" i="5"/>
  <c r="FY4" i="5"/>
  <c r="FX4" i="5"/>
  <c r="FW4" i="5"/>
  <c r="FV4" i="5"/>
  <c r="FU4" i="5"/>
  <c r="FT4" i="5"/>
  <c r="FS4" i="5"/>
  <c r="FR4" i="5"/>
  <c r="FQ4" i="5"/>
  <c r="FP4" i="5"/>
  <c r="FO4" i="5"/>
  <c r="FN4" i="5"/>
  <c r="FM4" i="5"/>
  <c r="FL4" i="5"/>
  <c r="FK4" i="5"/>
  <c r="FJ4" i="5"/>
  <c r="FI4" i="5"/>
  <c r="FH4" i="5"/>
  <c r="FG4" i="5"/>
  <c r="FF4" i="5"/>
  <c r="FE4" i="5"/>
  <c r="FD4" i="5"/>
  <c r="FC4" i="5"/>
  <c r="FB4" i="5"/>
  <c r="FA4" i="5"/>
  <c r="EZ4" i="5"/>
  <c r="EY4" i="5"/>
  <c r="EX4" i="5"/>
  <c r="EW4" i="5"/>
  <c r="EV4" i="5"/>
  <c r="EU4" i="5"/>
  <c r="ET4" i="5"/>
  <c r="ES4" i="5"/>
  <c r="ER4" i="5"/>
  <c r="EQ4" i="5"/>
  <c r="EP4" i="5"/>
  <c r="EO4" i="5"/>
  <c r="EN4" i="5"/>
  <c r="EM4" i="5"/>
  <c r="EL4" i="5"/>
  <c r="EK4" i="5"/>
  <c r="EJ4" i="5"/>
  <c r="EI4" i="5"/>
  <c r="EH4" i="5"/>
  <c r="EG4" i="5"/>
  <c r="EF4" i="5"/>
  <c r="EE4" i="5"/>
  <c r="ED4" i="5"/>
  <c r="EC4" i="5"/>
  <c r="EB4" i="5"/>
  <c r="EA4" i="5"/>
  <c r="DZ4" i="5"/>
  <c r="DY4" i="5"/>
  <c r="DX4" i="5"/>
  <c r="DW4" i="5"/>
  <c r="DV4" i="5"/>
  <c r="DU4" i="5"/>
  <c r="DT4" i="5"/>
  <c r="DS4" i="5"/>
  <c r="DR4" i="5"/>
  <c r="DQ4" i="5"/>
  <c r="DP4" i="5"/>
  <c r="DO4" i="5"/>
  <c r="DN4" i="5"/>
  <c r="DM4" i="5"/>
  <c r="DL4" i="5"/>
  <c r="DK4" i="5"/>
  <c r="DJ4" i="5"/>
  <c r="DI4" i="5"/>
  <c r="DH4" i="5"/>
  <c r="DG4" i="5"/>
  <c r="DF4" i="5"/>
  <c r="DE4" i="5"/>
  <c r="DD4" i="5"/>
  <c r="DC4" i="5"/>
  <c r="DB4" i="5"/>
  <c r="DA4" i="5"/>
  <c r="CZ4" i="5"/>
  <c r="CY4" i="5"/>
  <c r="CX4" i="5"/>
  <c r="CW4" i="5"/>
  <c r="CV4" i="5"/>
  <c r="CU4" i="5"/>
  <c r="CT4" i="5"/>
  <c r="CS4" i="5"/>
  <c r="CR4" i="5"/>
  <c r="CQ4" i="5"/>
  <c r="CP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HI3" i="5"/>
  <c r="HF3" i="5"/>
  <c r="HE3" i="5"/>
  <c r="HA3" i="5"/>
  <c r="GW3" i="5"/>
  <c r="GV3" i="5"/>
  <c r="GS3" i="5"/>
  <c r="GP3" i="5"/>
  <c r="GO3" i="5"/>
  <c r="GK3" i="5"/>
  <c r="GG3" i="5"/>
  <c r="GC3" i="5"/>
  <c r="FX3" i="5"/>
  <c r="FO3" i="5"/>
  <c r="EB3" i="5"/>
  <c r="DE3" i="5"/>
  <c r="CV3" i="5"/>
  <c r="CR3" i="5"/>
  <c r="CQ3" i="5"/>
  <c r="CN3" i="5"/>
  <c r="CB3" i="5"/>
  <c r="BY3" i="5"/>
  <c r="BP3" i="5"/>
  <c r="BI3" i="5"/>
  <c r="AN3" i="5"/>
  <c r="G60" i="4"/>
  <c r="F58" i="4"/>
  <c r="E57" i="4"/>
  <c r="E56" i="4"/>
  <c r="E63" i="4" s="1"/>
  <c r="E55" i="4"/>
  <c r="E45" i="4"/>
  <c r="G33" i="4"/>
  <c r="G32" i="4"/>
  <c r="E31" i="4"/>
  <c r="G31" i="4" s="1"/>
  <c r="G30" i="4"/>
  <c r="G29" i="4"/>
  <c r="G28" i="4"/>
  <c r="G27" i="4"/>
  <c r="G26" i="4"/>
  <c r="E25" i="4"/>
  <c r="G25" i="4" s="1"/>
  <c r="G24" i="4"/>
  <c r="G23" i="4"/>
  <c r="G22" i="4"/>
  <c r="G21" i="4"/>
  <c r="G20" i="4"/>
  <c r="G19" i="4"/>
  <c r="G18" i="4"/>
  <c r="G17" i="4"/>
  <c r="G16" i="4"/>
  <c r="G15" i="4"/>
  <c r="G14" i="4"/>
  <c r="E13" i="4"/>
  <c r="G13" i="4" s="1"/>
  <c r="E12" i="4"/>
  <c r="G12" i="4" s="1"/>
  <c r="G11" i="4"/>
  <c r="G10" i="4"/>
  <c r="G9" i="4"/>
  <c r="G8" i="4"/>
  <c r="G7" i="4"/>
  <c r="G6" i="4"/>
  <c r="G5" i="4"/>
  <c r="BY5" i="5" l="1"/>
  <c r="FX11" i="6"/>
  <c r="FV3" i="5" s="1"/>
  <c r="E132" i="6"/>
  <c r="FO5" i="5"/>
  <c r="E75" i="4"/>
  <c r="E114" i="6"/>
  <c r="E117" i="6"/>
  <c r="W10" i="6"/>
  <c r="T2" i="5"/>
  <c r="E101" i="6"/>
  <c r="M10" i="6"/>
  <c r="J2" i="5"/>
  <c r="S3" i="5"/>
  <c r="DC5" i="5"/>
  <c r="BD5" i="5"/>
  <c r="HE5" i="5"/>
  <c r="EJ5" i="5"/>
  <c r="GO5" i="5"/>
  <c r="EK5" i="5"/>
  <c r="ES5" i="5"/>
  <c r="FS11" i="6"/>
  <c r="FQ3" i="5" s="1"/>
  <c r="FQ5" i="5" s="1"/>
  <c r="GN5" i="5"/>
  <c r="GZ5" i="5"/>
  <c r="E107" i="6"/>
  <c r="DP11" i="6"/>
  <c r="DN3" i="5" s="1"/>
  <c r="DN5" i="5" s="1"/>
  <c r="DN11" i="6"/>
  <c r="DL3" i="5" s="1"/>
  <c r="DL5" i="5" s="1"/>
  <c r="DV11" i="6"/>
  <c r="DT3" i="5" s="1"/>
  <c r="FO11" i="6"/>
  <c r="FM3" i="5" s="1"/>
  <c r="FM5" i="5" s="1"/>
  <c r="DA5" i="5"/>
  <c r="HF5" i="5"/>
  <c r="GP5" i="5"/>
  <c r="CQ5" i="5"/>
  <c r="ER5" i="5"/>
  <c r="HD5" i="5"/>
  <c r="CV5" i="5"/>
  <c r="EB5" i="5"/>
  <c r="E130" i="6"/>
  <c r="AV5" i="5"/>
  <c r="BP5" i="5"/>
  <c r="CN5" i="5"/>
  <c r="FZ5" i="5"/>
  <c r="GH5" i="5"/>
  <c r="GT5" i="5"/>
  <c r="E136" i="6"/>
  <c r="E229" i="6"/>
  <c r="E238" i="6"/>
  <c r="FX5" i="5"/>
  <c r="DU11" i="6"/>
  <c r="DS3" i="5" s="1"/>
  <c r="DS5" i="5" s="1"/>
  <c r="E112" i="6"/>
  <c r="E125" i="6"/>
  <c r="E233" i="6"/>
  <c r="C6" i="6"/>
  <c r="E126" i="6"/>
  <c r="E129" i="6"/>
  <c r="E225" i="6"/>
  <c r="FW11" i="6"/>
  <c r="FU3" i="5" s="1"/>
  <c r="FU5" i="5" s="1"/>
  <c r="FB5" i="5"/>
  <c r="FJ5" i="5"/>
  <c r="E113" i="6"/>
  <c r="E135" i="6"/>
  <c r="E137" i="6"/>
  <c r="E222" i="6"/>
  <c r="E228" i="6"/>
  <c r="CM5" i="5"/>
  <c r="FF5" i="5"/>
  <c r="GD5" i="5"/>
  <c r="GL5" i="5"/>
  <c r="HB5" i="5"/>
  <c r="FA5" i="5"/>
  <c r="FI5" i="5"/>
  <c r="GG5" i="5"/>
  <c r="GS5" i="5"/>
  <c r="GX5" i="5"/>
  <c r="HI5" i="5"/>
  <c r="HI6" i="5" s="1"/>
  <c r="HA5" i="5"/>
  <c r="AN5" i="5"/>
  <c r="BI5" i="5"/>
  <c r="CB5" i="5"/>
  <c r="EF5" i="5"/>
  <c r="EN5" i="5"/>
  <c r="EV5" i="5"/>
  <c r="FE5" i="5"/>
  <c r="GC5" i="5"/>
  <c r="GK5" i="5"/>
  <c r="GV5" i="5"/>
  <c r="AO5" i="5"/>
  <c r="BL5" i="5"/>
  <c r="CJ5" i="5"/>
  <c r="CR5" i="5"/>
  <c r="DE5" i="5"/>
  <c r="EG5" i="5"/>
  <c r="EO5" i="5"/>
  <c r="EW5" i="5"/>
  <c r="FT5" i="5"/>
  <c r="GR5" i="5"/>
  <c r="GW5" i="5"/>
  <c r="HH5" i="5"/>
  <c r="E62" i="4"/>
  <c r="Z5" i="5"/>
  <c r="AX5" i="5"/>
  <c r="BU5" i="5"/>
  <c r="CG5" i="5"/>
  <c r="CP5" i="5"/>
  <c r="DU5" i="5"/>
  <c r="FW5" i="5"/>
  <c r="GB5" i="5"/>
  <c r="GF5" i="5"/>
  <c r="GJ5" i="5"/>
  <c r="AP5" i="5"/>
  <c r="BC5" i="5"/>
  <c r="BJ5" i="5"/>
  <c r="BV5" i="5"/>
  <c r="CI5" i="5"/>
  <c r="DB5" i="5"/>
  <c r="EA5" i="5"/>
  <c r="AB5" i="5"/>
  <c r="U5" i="5"/>
  <c r="AD5" i="5"/>
  <c r="AS5" i="5"/>
  <c r="BA5" i="5"/>
  <c r="BK5" i="5"/>
  <c r="CH5" i="5"/>
  <c r="EC5" i="5"/>
  <c r="EH5" i="5"/>
  <c r="EL5" i="5"/>
  <c r="EP5" i="5"/>
  <c r="ET5" i="5"/>
  <c r="EX5" i="5"/>
  <c r="FC5" i="5"/>
  <c r="FG5" i="5"/>
  <c r="FK5" i="5"/>
  <c r="FR5" i="5"/>
  <c r="AL5" i="5"/>
  <c r="AQ5" i="5"/>
  <c r="AY5" i="5"/>
  <c r="BR5" i="5"/>
  <c r="BW5" i="5"/>
  <c r="CD5" i="5"/>
  <c r="CX5" i="5"/>
  <c r="AJ5" i="5"/>
  <c r="V5" i="5"/>
  <c r="AI5" i="5"/>
  <c r="AU5" i="5"/>
  <c r="BE5" i="5"/>
  <c r="BM5" i="5"/>
  <c r="CA5" i="5"/>
  <c r="CK5" i="5"/>
  <c r="CS5" i="5"/>
  <c r="DG5" i="5"/>
  <c r="EE5" i="5"/>
  <c r="EI5" i="5"/>
  <c r="EM5" i="5"/>
  <c r="EQ5" i="5"/>
  <c r="EU5" i="5"/>
  <c r="EZ5" i="5"/>
  <c r="FD5" i="5"/>
  <c r="FH5" i="5"/>
  <c r="FL5" i="5"/>
  <c r="AM5" i="5"/>
  <c r="AR5" i="5"/>
  <c r="AZ5" i="5"/>
  <c r="BG5" i="5"/>
  <c r="BN5" i="5"/>
  <c r="BS5" i="5"/>
  <c r="BX5" i="5"/>
  <c r="CE5" i="5"/>
  <c r="CL5" i="5"/>
  <c r="CT5" i="5"/>
  <c r="CY5" i="5"/>
  <c r="DD5" i="5"/>
  <c r="DT5" i="5"/>
  <c r="AG5" i="5"/>
  <c r="W5" i="5"/>
  <c r="AK5" i="5"/>
  <c r="AW5" i="5"/>
  <c r="BF5" i="5"/>
  <c r="BQ5" i="5"/>
  <c r="CC5" i="5"/>
  <c r="CO5" i="5"/>
  <c r="CW5" i="5"/>
  <c r="FV5" i="5"/>
  <c r="GA5" i="5"/>
  <c r="GE5" i="5"/>
  <c r="GI5" i="5"/>
  <c r="GM5" i="5"/>
  <c r="GQ5" i="5"/>
  <c r="GU5" i="5"/>
  <c r="GY5" i="5"/>
  <c r="HC5" i="5"/>
  <c r="HG5" i="5"/>
  <c r="AT5" i="5"/>
  <c r="BB5" i="5"/>
  <c r="BH5" i="5"/>
  <c r="BO5" i="5"/>
  <c r="BT5" i="5"/>
  <c r="BZ5" i="5"/>
  <c r="CF5" i="5"/>
  <c r="CU5" i="5"/>
  <c r="CZ5" i="5"/>
  <c r="DF5" i="5"/>
  <c r="DZ5" i="5"/>
  <c r="AF5" i="5"/>
  <c r="X3" i="5"/>
  <c r="X5" i="5" s="1"/>
  <c r="DS11" i="6"/>
  <c r="DQ3" i="5" s="1"/>
  <c r="DQ5" i="5" s="1"/>
  <c r="DJ11" i="6"/>
  <c r="DH3" i="5" s="1"/>
  <c r="DH5" i="5" s="1"/>
  <c r="DZ11" i="6"/>
  <c r="DX3" i="5" s="1"/>
  <c r="DX5" i="5" s="1"/>
  <c r="E96" i="6"/>
  <c r="E179" i="6"/>
  <c r="DO11" i="6"/>
  <c r="DM3" i="5" s="1"/>
  <c r="DM5" i="5" s="1"/>
  <c r="E95" i="6"/>
  <c r="E128" i="6"/>
  <c r="E134" i="6"/>
  <c r="E94" i="6"/>
  <c r="E109" i="6"/>
  <c r="E120" i="6"/>
  <c r="E133" i="6"/>
  <c r="E64" i="4"/>
  <c r="E65" i="4" s="1"/>
  <c r="E68" i="4" s="1"/>
  <c r="E46" i="4"/>
  <c r="F43" i="4"/>
  <c r="G57" i="4"/>
  <c r="HI7" i="5"/>
  <c r="HH7" i="5" s="1"/>
  <c r="HG7" i="5" s="1"/>
  <c r="HF7" i="5" s="1"/>
  <c r="HE7" i="5" s="1"/>
  <c r="HD7" i="5" s="1"/>
  <c r="HC7" i="5" s="1"/>
  <c r="HB7" i="5" s="1"/>
  <c r="HA7" i="5" s="1"/>
  <c r="GZ7" i="5" s="1"/>
  <c r="GY7" i="5" s="1"/>
  <c r="GX7" i="5" s="1"/>
  <c r="GW7" i="5" s="1"/>
  <c r="GV7" i="5" s="1"/>
  <c r="GU7" i="5" s="1"/>
  <c r="GT7" i="5" s="1"/>
  <c r="GS7" i="5" s="1"/>
  <c r="GR7" i="5" s="1"/>
  <c r="GQ7" i="5" s="1"/>
  <c r="GP7" i="5" s="1"/>
  <c r="GO7" i="5" s="1"/>
  <c r="GN7" i="5" s="1"/>
  <c r="GM7" i="5" s="1"/>
  <c r="GL7" i="5" s="1"/>
  <c r="GK7" i="5" s="1"/>
  <c r="GJ7" i="5" s="1"/>
  <c r="GI7" i="5" s="1"/>
  <c r="GH7" i="5" s="1"/>
  <c r="GG7" i="5" s="1"/>
  <c r="GF7" i="5" s="1"/>
  <c r="GE7" i="5" s="1"/>
  <c r="GD7" i="5" s="1"/>
  <c r="GC7" i="5" s="1"/>
  <c r="GB7" i="5" s="1"/>
  <c r="GA7" i="5" s="1"/>
  <c r="FZ7" i="5" s="1"/>
  <c r="E100" i="6"/>
  <c r="DK11" i="6"/>
  <c r="DI3" i="5" s="1"/>
  <c r="DI5" i="5" s="1"/>
  <c r="E151" i="6"/>
  <c r="DT11" i="6"/>
  <c r="DR3" i="5" s="1"/>
  <c r="DR5" i="5" s="1"/>
  <c r="E164" i="6"/>
  <c r="DY11" i="6"/>
  <c r="DW3" i="5" s="1"/>
  <c r="DW5" i="5" s="1"/>
  <c r="E214" i="6"/>
  <c r="FA11" i="6"/>
  <c r="EY3" i="5" s="1"/>
  <c r="EY5" i="5" s="1"/>
  <c r="E223" i="6"/>
  <c r="FP11" i="6"/>
  <c r="FN3" i="5" s="1"/>
  <c r="FN5" i="5" s="1"/>
  <c r="EA11" i="6"/>
  <c r="DY3" i="5" s="1"/>
  <c r="DY5" i="5" s="1"/>
  <c r="E93" i="6"/>
  <c r="DL11" i="6"/>
  <c r="DJ3" i="5" s="1"/>
  <c r="DJ5" i="5" s="1"/>
  <c r="E108" i="6"/>
  <c r="DQ11" i="6"/>
  <c r="DO3" i="5" s="1"/>
  <c r="DO5" i="5" s="1"/>
  <c r="E158" i="6"/>
  <c r="DX11" i="6"/>
  <c r="DV3" i="5" s="1"/>
  <c r="DV5" i="5" s="1"/>
  <c r="DR11" i="6"/>
  <c r="DP3" i="5" s="1"/>
  <c r="DP5" i="5" s="1"/>
  <c r="E244" i="6"/>
  <c r="FR11" i="6"/>
  <c r="FP3" i="5" s="1"/>
  <c r="FP5" i="5" s="1"/>
  <c r="GA11" i="6"/>
  <c r="FY3" i="5" s="1"/>
  <c r="FY5" i="5" s="1"/>
  <c r="E111" i="6"/>
  <c r="DM11" i="6"/>
  <c r="DK3" i="5" s="1"/>
  <c r="DK5" i="5" s="1"/>
  <c r="E216" i="6"/>
  <c r="EF11" i="6"/>
  <c r="ED3" i="5" s="1"/>
  <c r="ED5" i="5" s="1"/>
  <c r="E282" i="6"/>
  <c r="FU11" i="6"/>
  <c r="FS3" i="5" s="1"/>
  <c r="FS5" i="5" s="1"/>
  <c r="AE11" i="6"/>
  <c r="AA11" i="6"/>
  <c r="S5" i="5" l="1"/>
  <c r="X10" i="6"/>
  <c r="U2" i="5"/>
  <c r="N10" i="6"/>
  <c r="K2" i="5"/>
  <c r="G43" i="4"/>
  <c r="F42" i="4"/>
  <c r="G42" i="4" s="1"/>
  <c r="FY7" i="5"/>
  <c r="FX7" i="5" s="1"/>
  <c r="FW7" i="5" s="1"/>
  <c r="FV7" i="5" s="1"/>
  <c r="FU7" i="5" s="1"/>
  <c r="FT7" i="5" s="1"/>
  <c r="FS7" i="5" s="1"/>
  <c r="FR7" i="5" s="1"/>
  <c r="FQ7" i="5" s="1"/>
  <c r="FP7" i="5" s="1"/>
  <c r="FO7" i="5" s="1"/>
  <c r="FN7" i="5" s="1"/>
  <c r="FM7" i="5" s="1"/>
  <c r="FL7" i="5" s="1"/>
  <c r="FK7" i="5" s="1"/>
  <c r="FJ7" i="5" s="1"/>
  <c r="FI7" i="5" s="1"/>
  <c r="FH7" i="5" s="1"/>
  <c r="FG7" i="5" s="1"/>
  <c r="FF7" i="5" s="1"/>
  <c r="FE7" i="5" s="1"/>
  <c r="FD7" i="5" s="1"/>
  <c r="FC7" i="5" s="1"/>
  <c r="FB7" i="5" s="1"/>
  <c r="FA7" i="5" s="1"/>
  <c r="EZ7" i="5" s="1"/>
  <c r="EY7" i="5" s="1"/>
  <c r="EX7" i="5" s="1"/>
  <c r="EW7" i="5" s="1"/>
  <c r="EV7" i="5" s="1"/>
  <c r="EU7" i="5" s="1"/>
  <c r="ET7" i="5" s="1"/>
  <c r="ES7" i="5" s="1"/>
  <c r="ER7" i="5" s="1"/>
  <c r="EQ7" i="5" s="1"/>
  <c r="EP7" i="5" s="1"/>
  <c r="EO7" i="5" s="1"/>
  <c r="EN7" i="5" s="1"/>
  <c r="EM7" i="5" s="1"/>
  <c r="EL7" i="5" s="1"/>
  <c r="EK7" i="5" s="1"/>
  <c r="EJ7" i="5" s="1"/>
  <c r="EI7" i="5" s="1"/>
  <c r="EH7" i="5" s="1"/>
  <c r="EG7" i="5" s="1"/>
  <c r="EF7" i="5" s="1"/>
  <c r="EE7" i="5" s="1"/>
  <c r="ED7" i="5" s="1"/>
  <c r="EC7" i="5" s="1"/>
  <c r="EB7" i="5" s="1"/>
  <c r="EA7" i="5" s="1"/>
  <c r="DZ7" i="5" s="1"/>
  <c r="DY7" i="5" s="1"/>
  <c r="DX7" i="5" s="1"/>
  <c r="DW7" i="5" s="1"/>
  <c r="DV7" i="5" s="1"/>
  <c r="DU7" i="5" s="1"/>
  <c r="DT7" i="5" s="1"/>
  <c r="DS7" i="5" s="1"/>
  <c r="DR7" i="5" s="1"/>
  <c r="DQ7" i="5" s="1"/>
  <c r="DP7" i="5" s="1"/>
  <c r="DO7" i="5" s="1"/>
  <c r="DN7" i="5" s="1"/>
  <c r="DM7" i="5" s="1"/>
  <c r="DL7" i="5" s="1"/>
  <c r="DK7" i="5" s="1"/>
  <c r="DJ7" i="5" s="1"/>
  <c r="DI7" i="5" s="1"/>
  <c r="DH7" i="5" s="1"/>
  <c r="DG7" i="5" s="1"/>
  <c r="DF7" i="5" s="1"/>
  <c r="DE7" i="5" s="1"/>
  <c r="DD7" i="5" s="1"/>
  <c r="DC7" i="5" s="1"/>
  <c r="DB7" i="5" s="1"/>
  <c r="DA7" i="5" s="1"/>
  <c r="CZ7" i="5" s="1"/>
  <c r="CY7" i="5" s="1"/>
  <c r="CX7" i="5" s="1"/>
  <c r="CW7" i="5" s="1"/>
  <c r="CV7" i="5" s="1"/>
  <c r="CU7" i="5" s="1"/>
  <c r="CT7" i="5" s="1"/>
  <c r="CS7" i="5" s="1"/>
  <c r="CR7" i="5" s="1"/>
  <c r="CQ7" i="5" s="1"/>
  <c r="CP7" i="5" s="1"/>
  <c r="CO7" i="5" s="1"/>
  <c r="CN7" i="5" s="1"/>
  <c r="CM7" i="5" s="1"/>
  <c r="CL7" i="5" s="1"/>
  <c r="CK7" i="5" s="1"/>
  <c r="CJ7" i="5" s="1"/>
  <c r="CI7" i="5" s="1"/>
  <c r="CH7" i="5" s="1"/>
  <c r="CG7" i="5" s="1"/>
  <c r="CF7" i="5" s="1"/>
  <c r="CE7" i="5" s="1"/>
  <c r="CD7" i="5" s="1"/>
  <c r="CC7" i="5" s="1"/>
  <c r="CB7" i="5" s="1"/>
  <c r="CA7" i="5" s="1"/>
  <c r="BZ7" i="5" s="1"/>
  <c r="BY7" i="5" s="1"/>
  <c r="BX7" i="5" s="1"/>
  <c r="BW7" i="5" s="1"/>
  <c r="BV7" i="5" s="1"/>
  <c r="BU7" i="5" s="1"/>
  <c r="BT7" i="5" s="1"/>
  <c r="BS7" i="5" s="1"/>
  <c r="BR7" i="5" s="1"/>
  <c r="BQ7" i="5" s="1"/>
  <c r="BP7" i="5" s="1"/>
  <c r="BO7" i="5" s="1"/>
  <c r="BN7" i="5" s="1"/>
  <c r="BM7" i="5" s="1"/>
  <c r="BL7" i="5" s="1"/>
  <c r="BK7" i="5" s="1"/>
  <c r="BJ7" i="5" s="1"/>
  <c r="BI7" i="5" s="1"/>
  <c r="BH7" i="5" s="1"/>
  <c r="BG7" i="5" s="1"/>
  <c r="BF7" i="5" s="1"/>
  <c r="BE7" i="5" s="1"/>
  <c r="BD7" i="5" s="1"/>
  <c r="BC7" i="5" s="1"/>
  <c r="BB7" i="5" s="1"/>
  <c r="BA7" i="5" s="1"/>
  <c r="AZ7" i="5" s="1"/>
  <c r="AY7" i="5" s="1"/>
  <c r="AX7" i="5" s="1"/>
  <c r="AW7" i="5" s="1"/>
  <c r="AV7" i="5" s="1"/>
  <c r="AU7" i="5" s="1"/>
  <c r="AT7" i="5" s="1"/>
  <c r="AS7" i="5" s="1"/>
  <c r="AR7" i="5" s="1"/>
  <c r="AQ7" i="5" s="1"/>
  <c r="AP7" i="5" s="1"/>
  <c r="AO7" i="5" s="1"/>
  <c r="AN7" i="5" s="1"/>
  <c r="AM7" i="5" s="1"/>
  <c r="AL7" i="5" s="1"/>
  <c r="AK7" i="5" s="1"/>
  <c r="AJ7" i="5" s="1"/>
  <c r="AI7" i="5" s="1"/>
  <c r="HH6" i="5"/>
  <c r="HG6" i="5" s="1"/>
  <c r="HF6" i="5" s="1"/>
  <c r="HE6" i="5" s="1"/>
  <c r="HD6" i="5" s="1"/>
  <c r="HC6" i="5" s="1"/>
  <c r="HB6" i="5" s="1"/>
  <c r="HA6" i="5" s="1"/>
  <c r="GZ6" i="5" s="1"/>
  <c r="GY6" i="5" s="1"/>
  <c r="GX6" i="5" s="1"/>
  <c r="GW6" i="5" s="1"/>
  <c r="GV6" i="5" s="1"/>
  <c r="GU6" i="5" s="1"/>
  <c r="GT6" i="5" s="1"/>
  <c r="GS6" i="5" s="1"/>
  <c r="GR6" i="5" s="1"/>
  <c r="GQ6" i="5" s="1"/>
  <c r="GP6" i="5" s="1"/>
  <c r="GO6" i="5" s="1"/>
  <c r="GN6" i="5" s="1"/>
  <c r="GM6" i="5" s="1"/>
  <c r="GL6" i="5" s="1"/>
  <c r="GK6" i="5" s="1"/>
  <c r="GJ6" i="5" s="1"/>
  <c r="GI6" i="5" s="1"/>
  <c r="GH6" i="5" s="1"/>
  <c r="GG6" i="5" s="1"/>
  <c r="GF6" i="5" s="1"/>
  <c r="GE6" i="5" s="1"/>
  <c r="GD6" i="5" s="1"/>
  <c r="GC6" i="5" s="1"/>
  <c r="GB6" i="5" s="1"/>
  <c r="GA6" i="5" s="1"/>
  <c r="FZ6" i="5" s="1"/>
  <c r="FY6" i="5" s="1"/>
  <c r="FX6" i="5" s="1"/>
  <c r="FW6" i="5" s="1"/>
  <c r="FV6" i="5" s="1"/>
  <c r="FU6" i="5" s="1"/>
  <c r="FT6" i="5" s="1"/>
  <c r="FS6" i="5" s="1"/>
  <c r="FR6" i="5" s="1"/>
  <c r="FQ6" i="5" s="1"/>
  <c r="FP6" i="5" s="1"/>
  <c r="FO6" i="5" s="1"/>
  <c r="FN6" i="5" s="1"/>
  <c r="FM6" i="5" s="1"/>
  <c r="FL6" i="5" s="1"/>
  <c r="FK6" i="5" s="1"/>
  <c r="FJ6" i="5" s="1"/>
  <c r="FI6" i="5" s="1"/>
  <c r="FH6" i="5" s="1"/>
  <c r="FG6" i="5" s="1"/>
  <c r="FF6" i="5" s="1"/>
  <c r="FE6" i="5" s="1"/>
  <c r="FD6" i="5" s="1"/>
  <c r="FC6" i="5" s="1"/>
  <c r="FB6" i="5" s="1"/>
  <c r="FA6" i="5" s="1"/>
  <c r="EZ6" i="5" s="1"/>
  <c r="EY6" i="5" s="1"/>
  <c r="EX6" i="5" s="1"/>
  <c r="EW6" i="5" s="1"/>
  <c r="EV6" i="5" s="1"/>
  <c r="EU6" i="5" s="1"/>
  <c r="ET6" i="5" s="1"/>
  <c r="ES6" i="5" s="1"/>
  <c r="ER6" i="5" s="1"/>
  <c r="EQ6" i="5" s="1"/>
  <c r="EP6" i="5" s="1"/>
  <c r="EO6" i="5" s="1"/>
  <c r="EN6" i="5" s="1"/>
  <c r="EM6" i="5" s="1"/>
  <c r="EL6" i="5" s="1"/>
  <c r="EK6" i="5" s="1"/>
  <c r="EJ6" i="5" s="1"/>
  <c r="EI6" i="5" s="1"/>
  <c r="EH6" i="5" s="1"/>
  <c r="EG6" i="5" s="1"/>
  <c r="EF6" i="5" s="1"/>
  <c r="EE6" i="5" s="1"/>
  <c r="ED6" i="5" s="1"/>
  <c r="EC6" i="5" s="1"/>
  <c r="EB6" i="5" s="1"/>
  <c r="EA6" i="5" s="1"/>
  <c r="DZ6" i="5" s="1"/>
  <c r="DY6" i="5" s="1"/>
  <c r="DX6" i="5" s="1"/>
  <c r="DW6" i="5" s="1"/>
  <c r="DV6" i="5" s="1"/>
  <c r="DU6" i="5" s="1"/>
  <c r="DT6" i="5" s="1"/>
  <c r="DS6" i="5" s="1"/>
  <c r="DR6" i="5" s="1"/>
  <c r="DQ6" i="5" s="1"/>
  <c r="DP6" i="5" s="1"/>
  <c r="DO6" i="5" s="1"/>
  <c r="DN6" i="5" s="1"/>
  <c r="DM6" i="5" s="1"/>
  <c r="DL6" i="5" s="1"/>
  <c r="DK6" i="5" s="1"/>
  <c r="DJ6" i="5" s="1"/>
  <c r="DI6" i="5" s="1"/>
  <c r="DH6" i="5" s="1"/>
  <c r="DG6" i="5" s="1"/>
  <c r="DF6" i="5" s="1"/>
  <c r="DE6" i="5" s="1"/>
  <c r="DD6" i="5" s="1"/>
  <c r="DC6" i="5" s="1"/>
  <c r="DB6" i="5" s="1"/>
  <c r="DA6" i="5" s="1"/>
  <c r="CZ6" i="5" s="1"/>
  <c r="CY6" i="5" s="1"/>
  <c r="CX6" i="5" s="1"/>
  <c r="CW6" i="5" s="1"/>
  <c r="CV6" i="5" s="1"/>
  <c r="CU6" i="5" s="1"/>
  <c r="CT6" i="5" s="1"/>
  <c r="CS6" i="5" s="1"/>
  <c r="CR6" i="5" s="1"/>
  <c r="CQ6" i="5" s="1"/>
  <c r="CP6" i="5" s="1"/>
  <c r="CO6" i="5" s="1"/>
  <c r="CN6" i="5" s="1"/>
  <c r="CM6" i="5" s="1"/>
  <c r="CL6" i="5" s="1"/>
  <c r="CK6" i="5" s="1"/>
  <c r="CJ6" i="5" s="1"/>
  <c r="CI6" i="5" s="1"/>
  <c r="CH6" i="5" s="1"/>
  <c r="CG6" i="5" s="1"/>
  <c r="CF6" i="5" s="1"/>
  <c r="CE6" i="5" s="1"/>
  <c r="CD6" i="5" s="1"/>
  <c r="CC6" i="5" s="1"/>
  <c r="CB6" i="5" s="1"/>
  <c r="CA6" i="5" s="1"/>
  <c r="BZ6" i="5" s="1"/>
  <c r="BY6" i="5" s="1"/>
  <c r="BX6" i="5" s="1"/>
  <c r="BW6" i="5" s="1"/>
  <c r="BV6" i="5" s="1"/>
  <c r="BU6" i="5" s="1"/>
  <c r="BT6" i="5" s="1"/>
  <c r="BS6" i="5" s="1"/>
  <c r="BR6" i="5" s="1"/>
  <c r="BQ6" i="5" s="1"/>
  <c r="BP6" i="5" s="1"/>
  <c r="BO6" i="5" s="1"/>
  <c r="BN6" i="5" s="1"/>
  <c r="BM6" i="5" s="1"/>
  <c r="BL6" i="5" s="1"/>
  <c r="BK6" i="5" s="1"/>
  <c r="BJ6" i="5" s="1"/>
  <c r="BI6" i="5" s="1"/>
  <c r="BH6" i="5" s="1"/>
  <c r="BG6" i="5" s="1"/>
  <c r="BF6" i="5" s="1"/>
  <c r="BE6" i="5" s="1"/>
  <c r="BD6" i="5" s="1"/>
  <c r="BC6" i="5" s="1"/>
  <c r="BB6" i="5" s="1"/>
  <c r="BA6" i="5" s="1"/>
  <c r="AZ6" i="5" s="1"/>
  <c r="AY6" i="5" s="1"/>
  <c r="AX6" i="5" s="1"/>
  <c r="AW6" i="5" s="1"/>
  <c r="AV6" i="5" s="1"/>
  <c r="AU6" i="5" s="1"/>
  <c r="AT6" i="5" s="1"/>
  <c r="AS6" i="5" s="1"/>
  <c r="AR6" i="5" s="1"/>
  <c r="AQ6" i="5" s="1"/>
  <c r="AP6" i="5" s="1"/>
  <c r="AO6" i="5" s="1"/>
  <c r="AN6" i="5" s="1"/>
  <c r="AM6" i="5" s="1"/>
  <c r="AL6" i="5" s="1"/>
  <c r="AK6" i="5" s="1"/>
  <c r="AJ6" i="5" s="1"/>
  <c r="AI6" i="5" s="1"/>
  <c r="AJ11" i="6"/>
  <c r="AH3" i="5" s="1"/>
  <c r="AH5" i="5" s="1"/>
  <c r="Y3" i="5"/>
  <c r="AG11" i="6"/>
  <c r="AE3" i="5" s="1"/>
  <c r="AE5" i="5" s="1"/>
  <c r="AC3" i="5"/>
  <c r="AC5" i="5" s="1"/>
  <c r="AC11" i="6"/>
  <c r="C3" i="6" l="1"/>
  <c r="O10" i="6"/>
  <c r="L2" i="5"/>
  <c r="Y10" i="6"/>
  <c r="V2" i="5"/>
  <c r="C7" i="6"/>
  <c r="C9" i="6"/>
  <c r="AA3" i="5"/>
  <c r="AA5" i="5" s="1"/>
  <c r="Y5" i="5"/>
  <c r="B5" i="5" s="1"/>
  <c r="AH6" i="5"/>
  <c r="AG6" i="5" s="1"/>
  <c r="AF6" i="5" s="1"/>
  <c r="AE6" i="5" s="1"/>
  <c r="AD6" i="5" s="1"/>
  <c r="AC6" i="5" s="1"/>
  <c r="AB6" i="5" s="1"/>
  <c r="F59" i="4"/>
  <c r="F55" i="4"/>
  <c r="G55" i="4" s="1"/>
  <c r="G44" i="4"/>
  <c r="AH7" i="5"/>
  <c r="AG7" i="5" s="1"/>
  <c r="AF7" i="5" s="1"/>
  <c r="AE7" i="5" s="1"/>
  <c r="AD7" i="5" s="1"/>
  <c r="AC7" i="5" s="1"/>
  <c r="AB7" i="5" s="1"/>
  <c r="B3" i="5" l="1"/>
  <c r="Z10" i="6"/>
  <c r="W2" i="5"/>
  <c r="P10" i="6"/>
  <c r="M2" i="5"/>
  <c r="AA7" i="5"/>
  <c r="Z7" i="5" s="1"/>
  <c r="Y7" i="5" s="1"/>
  <c r="X7" i="5" s="1"/>
  <c r="W7" i="5" s="1"/>
  <c r="V7" i="5" s="1"/>
  <c r="U7" i="5" s="1"/>
  <c r="T7" i="5" s="1"/>
  <c r="S7" i="5" s="1"/>
  <c r="R7" i="5" s="1"/>
  <c r="Q7" i="5" s="1"/>
  <c r="P7" i="5" s="1"/>
  <c r="O7" i="5" s="1"/>
  <c r="N7" i="5" s="1"/>
  <c r="M7" i="5" s="1"/>
  <c r="L7" i="5" s="1"/>
  <c r="K7" i="5" s="1"/>
  <c r="J7" i="5" s="1"/>
  <c r="I7" i="5" s="1"/>
  <c r="H7" i="5" s="1"/>
  <c r="G7" i="5" s="1"/>
  <c r="F7" i="5" s="1"/>
  <c r="E7" i="5" s="1"/>
  <c r="F56" i="4"/>
  <c r="F63" i="4" s="1"/>
  <c r="F46" i="4" s="1"/>
  <c r="AA6" i="5"/>
  <c r="Z6" i="5" s="1"/>
  <c r="Y6" i="5" s="1"/>
  <c r="X6" i="5" s="1"/>
  <c r="W6" i="5" s="1"/>
  <c r="V6" i="5" s="1"/>
  <c r="U6" i="5" s="1"/>
  <c r="T6" i="5" s="1"/>
  <c r="S6" i="5" s="1"/>
  <c r="R6" i="5" s="1"/>
  <c r="Q6" i="5" s="1"/>
  <c r="P6" i="5" s="1"/>
  <c r="O6" i="5" s="1"/>
  <c r="N6" i="5" s="1"/>
  <c r="M6" i="5" s="1"/>
  <c r="L6" i="5" s="1"/>
  <c r="K6" i="5" s="1"/>
  <c r="J6" i="5" s="1"/>
  <c r="I6" i="5" s="1"/>
  <c r="H6" i="5" s="1"/>
  <c r="G6" i="5" s="1"/>
  <c r="F6" i="5" s="1"/>
  <c r="E6" i="5" s="1"/>
  <c r="Q10" i="6" l="1"/>
  <c r="N2" i="5"/>
  <c r="AA10" i="6"/>
  <c r="X2" i="5"/>
  <c r="G56" i="4"/>
  <c r="F69" i="4" s="1"/>
  <c r="F62" i="4"/>
  <c r="G62" i="4" s="1"/>
  <c r="AB10" i="6" l="1"/>
  <c r="Y2" i="5"/>
  <c r="R10" i="6"/>
  <c r="O2" i="5"/>
  <c r="S10" i="6" l="1"/>
  <c r="P2" i="5"/>
  <c r="AC10" i="6"/>
  <c r="Z2" i="5"/>
  <c r="AA2" i="5" l="1"/>
  <c r="AD10" i="6"/>
  <c r="T10" i="6"/>
  <c r="R2" i="5" s="1"/>
  <c r="Q2" i="5"/>
  <c r="AB2" i="5" l="1"/>
  <c r="AE10" i="6"/>
  <c r="AC2" i="5" l="1"/>
  <c r="AF10" i="6"/>
  <c r="AD2" i="5" l="1"/>
  <c r="AG10" i="6"/>
  <c r="AE2" i="5" l="1"/>
  <c r="AH10" i="6"/>
  <c r="AF2" i="5" l="1"/>
  <c r="AI10" i="6"/>
  <c r="AG2" i="5" l="1"/>
  <c r="AJ10" i="6"/>
  <c r="AH2" i="5" l="1"/>
  <c r="AK10" i="6"/>
  <c r="AI2" i="5" l="1"/>
  <c r="AL10" i="6"/>
  <c r="AJ2" i="5" l="1"/>
  <c r="AM10" i="6"/>
  <c r="AK2" i="5" l="1"/>
  <c r="AN10" i="6"/>
  <c r="AL2" i="5" l="1"/>
  <c r="AO10" i="6"/>
  <c r="AM2" i="5" l="1"/>
  <c r="AP10" i="6"/>
  <c r="AN2" i="5" l="1"/>
  <c r="AQ10" i="6"/>
  <c r="AO2" i="5" l="1"/>
  <c r="AR10" i="6"/>
  <c r="AP2" i="5" l="1"/>
  <c r="AS10" i="6"/>
  <c r="AQ2" i="5" l="1"/>
  <c r="AT10" i="6"/>
  <c r="AR2" i="5" l="1"/>
  <c r="AU10" i="6"/>
  <c r="AS2" i="5" l="1"/>
  <c r="AV10" i="6"/>
  <c r="AT2" i="5" l="1"/>
  <c r="AW10" i="6"/>
  <c r="AU2" i="5" l="1"/>
  <c r="AX10" i="6"/>
  <c r="AV2" i="5" l="1"/>
  <c r="AY10" i="6"/>
  <c r="AW2" i="5" l="1"/>
  <c r="AZ10" i="6"/>
  <c r="AX2" i="5" l="1"/>
  <c r="BA10" i="6"/>
  <c r="AY2" i="5" l="1"/>
  <c r="BB10" i="6"/>
  <c r="AZ2" i="5" l="1"/>
  <c r="BC10" i="6"/>
  <c r="BA2" i="5" l="1"/>
  <c r="BD10" i="6"/>
  <c r="BB2" i="5" l="1"/>
  <c r="BE10" i="6"/>
  <c r="BC2" i="5" l="1"/>
  <c r="BF10" i="6"/>
  <c r="BD2" i="5" l="1"/>
  <c r="BG10" i="6"/>
  <c r="BE2" i="5" l="1"/>
  <c r="BH10" i="6"/>
  <c r="BF2" i="5" l="1"/>
  <c r="BI10" i="6"/>
  <c r="BG2" i="5" l="1"/>
  <c r="BJ10" i="6"/>
  <c r="BH2" i="5" l="1"/>
  <c r="BK10" i="6"/>
  <c r="BI2" i="5" l="1"/>
  <c r="BL10" i="6"/>
  <c r="BJ2" i="5" l="1"/>
  <c r="BM10" i="6"/>
  <c r="BK2" i="5" l="1"/>
  <c r="BN10" i="6"/>
  <c r="BL2" i="5" l="1"/>
  <c r="BO10" i="6"/>
  <c r="BM2" i="5" l="1"/>
  <c r="BP10" i="6"/>
  <c r="BN2" i="5" l="1"/>
  <c r="BQ10" i="6"/>
  <c r="BO2" i="5" l="1"/>
  <c r="BR10" i="6"/>
  <c r="BP2" i="5" l="1"/>
  <c r="BS10" i="6"/>
  <c r="BQ2" i="5" l="1"/>
  <c r="BT10" i="6"/>
  <c r="BR2" i="5" l="1"/>
  <c r="BU10" i="6"/>
  <c r="BS2" i="5" l="1"/>
  <c r="BV10" i="6"/>
  <c r="BT2" i="5" l="1"/>
  <c r="BW10" i="6"/>
  <c r="BU2" i="5" l="1"/>
  <c r="BX10" i="6"/>
  <c r="BV2" i="5" l="1"/>
  <c r="BY10" i="6"/>
  <c r="BW2" i="5" l="1"/>
  <c r="BZ10" i="6"/>
  <c r="BX2" i="5" l="1"/>
  <c r="CA10" i="6"/>
  <c r="BY2" i="5" l="1"/>
  <c r="CB10" i="6"/>
  <c r="BZ2" i="5" l="1"/>
  <c r="CC10" i="6"/>
  <c r="CA2" i="5" l="1"/>
  <c r="CD10" i="6"/>
  <c r="CB2" i="5" l="1"/>
  <c r="CE10" i="6"/>
  <c r="CC2" i="5" l="1"/>
  <c r="CF10" i="6"/>
  <c r="CD2" i="5" l="1"/>
  <c r="CG10" i="6"/>
  <c r="CE2" i="5" l="1"/>
  <c r="CH10" i="6"/>
  <c r="CF2" i="5" l="1"/>
  <c r="CI10" i="6"/>
  <c r="CG2" i="5" l="1"/>
  <c r="CJ10" i="6"/>
  <c r="CH2" i="5" l="1"/>
  <c r="CK10" i="6"/>
  <c r="CI2" i="5" l="1"/>
  <c r="CL10" i="6"/>
  <c r="CJ2" i="5" l="1"/>
  <c r="CM10" i="6"/>
  <c r="CK2" i="5" l="1"/>
  <c r="CN10" i="6"/>
  <c r="CL2" i="5" l="1"/>
  <c r="CO10" i="6"/>
  <c r="CM2" i="5" l="1"/>
  <c r="CP10" i="6"/>
  <c r="CN2" i="5" l="1"/>
  <c r="CQ10" i="6"/>
  <c r="CO2" i="5" l="1"/>
  <c r="CR10" i="6"/>
  <c r="CP2" i="5" l="1"/>
  <c r="CS10" i="6"/>
  <c r="CQ2" i="5" l="1"/>
  <c r="CT10" i="6"/>
  <c r="CR2" i="5" l="1"/>
  <c r="CU10" i="6"/>
  <c r="CS2" i="5" l="1"/>
  <c r="CV10" i="6"/>
  <c r="CT2" i="5" l="1"/>
  <c r="CW10" i="6"/>
  <c r="CU2" i="5" l="1"/>
  <c r="CX10" i="6"/>
  <c r="CV2" i="5" l="1"/>
  <c r="CY10" i="6"/>
  <c r="CW2" i="5" l="1"/>
  <c r="CZ10" i="6"/>
  <c r="CX2" i="5" l="1"/>
  <c r="DA10" i="6"/>
  <c r="CY2" i="5" l="1"/>
  <c r="DB10" i="6"/>
  <c r="CZ2" i="5" l="1"/>
  <c r="DC10" i="6"/>
  <c r="DA2" i="5" l="1"/>
  <c r="DD10" i="6"/>
  <c r="DB2" i="5" l="1"/>
  <c r="DE10" i="6"/>
  <c r="DC2" i="5" l="1"/>
  <c r="DF10" i="6"/>
  <c r="DD2" i="5" l="1"/>
  <c r="DG10" i="6"/>
  <c r="DE2" i="5" l="1"/>
  <c r="DH10" i="6"/>
  <c r="DF2" i="5" l="1"/>
  <c r="DI10" i="6"/>
  <c r="DG2" i="5" l="1"/>
  <c r="DJ10" i="6"/>
  <c r="DH2" i="5" l="1"/>
  <c r="DK10" i="6"/>
  <c r="DI2" i="5" l="1"/>
  <c r="DL10" i="6"/>
  <c r="DJ2" i="5" l="1"/>
  <c r="DM10" i="6"/>
  <c r="DK2" i="5" l="1"/>
  <c r="DN10" i="6"/>
  <c r="DL2" i="5" l="1"/>
  <c r="DO10" i="6"/>
  <c r="DM2" i="5" l="1"/>
  <c r="DP10" i="6"/>
  <c r="DN2" i="5" l="1"/>
  <c r="DQ10" i="6"/>
  <c r="DO2" i="5" l="1"/>
  <c r="DR10" i="6"/>
  <c r="DP2" i="5" l="1"/>
  <c r="DS10" i="6"/>
  <c r="DQ2" i="5" l="1"/>
  <c r="DT10" i="6"/>
  <c r="DR2" i="5" l="1"/>
  <c r="DU10" i="6"/>
  <c r="DS2" i="5" l="1"/>
  <c r="DV10" i="6"/>
  <c r="DT2" i="5" l="1"/>
  <c r="DW10" i="6"/>
  <c r="DU2" i="5" l="1"/>
  <c r="DX10" i="6"/>
  <c r="DV2" i="5" l="1"/>
  <c r="DY10" i="6"/>
  <c r="DW2" i="5" l="1"/>
  <c r="DZ10" i="6"/>
  <c r="DX2" i="5" l="1"/>
  <c r="EA10" i="6"/>
  <c r="DY2" i="5" l="1"/>
  <c r="EB10" i="6"/>
  <c r="DZ2" i="5" l="1"/>
  <c r="EC10" i="6"/>
  <c r="EA2" i="5" l="1"/>
  <c r="ED10" i="6"/>
  <c r="EB2" i="5" l="1"/>
  <c r="EE10" i="6"/>
  <c r="EC2" i="5" l="1"/>
  <c r="EF10" i="6"/>
  <c r="ED2" i="5" l="1"/>
  <c r="EG10" i="6"/>
  <c r="EE2" i="5" l="1"/>
  <c r="EH10" i="6"/>
  <c r="EF2" i="5" l="1"/>
  <c r="EI10" i="6"/>
  <c r="EG2" i="5" l="1"/>
  <c r="EJ10" i="6"/>
  <c r="EH2" i="5" l="1"/>
  <c r="EK10" i="6"/>
  <c r="EI2" i="5" l="1"/>
  <c r="EL10" i="6"/>
  <c r="EJ2" i="5" l="1"/>
  <c r="EM10" i="6"/>
  <c r="EK2" i="5" l="1"/>
  <c r="EN10" i="6"/>
  <c r="EL2" i="5" l="1"/>
  <c r="EO10" i="6"/>
  <c r="EM2" i="5" l="1"/>
  <c r="EP10" i="6"/>
  <c r="EN2" i="5" l="1"/>
  <c r="EQ10" i="6"/>
  <c r="EO2" i="5" l="1"/>
  <c r="ER10" i="6"/>
  <c r="EP2" i="5" l="1"/>
  <c r="ES10" i="6"/>
  <c r="EQ2" i="5" l="1"/>
  <c r="ET10" i="6"/>
  <c r="ER2" i="5" l="1"/>
  <c r="EU10" i="6"/>
  <c r="ES2" i="5" l="1"/>
  <c r="EV10" i="6"/>
  <c r="ET2" i="5" l="1"/>
  <c r="EW10" i="6"/>
  <c r="EU2" i="5" l="1"/>
  <c r="EX10" i="6"/>
  <c r="EV2" i="5" l="1"/>
  <c r="EY10" i="6"/>
  <c r="EW2" i="5" l="1"/>
  <c r="EZ10" i="6"/>
  <c r="EX2" i="5" l="1"/>
  <c r="FA10" i="6"/>
  <c r="EY2" i="5" l="1"/>
  <c r="FB10" i="6"/>
  <c r="EZ2" i="5" l="1"/>
  <c r="FC10" i="6"/>
  <c r="FA2" i="5" l="1"/>
  <c r="FD10" i="6"/>
  <c r="FB2" i="5" l="1"/>
  <c r="FE10" i="6"/>
  <c r="FC2" i="5" l="1"/>
  <c r="FF10" i="6"/>
  <c r="FD2" i="5" l="1"/>
  <c r="FG10" i="6"/>
  <c r="FE2" i="5" l="1"/>
  <c r="FH10" i="6"/>
  <c r="FF2" i="5" l="1"/>
  <c r="FI10" i="6"/>
  <c r="FG2" i="5" l="1"/>
  <c r="FJ10" i="6"/>
  <c r="FH2" i="5" l="1"/>
  <c r="FK10" i="6"/>
  <c r="FI2" i="5" l="1"/>
  <c r="FL10" i="6"/>
  <c r="FJ2" i="5" l="1"/>
  <c r="FM10" i="6"/>
  <c r="FK2" i="5" l="1"/>
  <c r="FN10" i="6"/>
  <c r="FL2" i="5" l="1"/>
  <c r="FO10" i="6"/>
  <c r="FM2" i="5" l="1"/>
  <c r="FP10" i="6"/>
  <c r="FN2" i="5" l="1"/>
  <c r="FQ10" i="6"/>
  <c r="FO2" i="5" l="1"/>
  <c r="FR10" i="6"/>
  <c r="FP2" i="5" l="1"/>
  <c r="FS10" i="6"/>
  <c r="FQ2" i="5" l="1"/>
  <c r="FT10" i="6"/>
  <c r="FR2" i="5" l="1"/>
  <c r="FU10" i="6"/>
  <c r="FS2" i="5" l="1"/>
  <c r="FV10" i="6"/>
  <c r="FT2" i="5" l="1"/>
  <c r="FW10" i="6"/>
  <c r="FU2" i="5" l="1"/>
  <c r="FX10" i="6"/>
  <c r="FV2" i="5" l="1"/>
  <c r="FY10" i="6"/>
  <c r="FW2" i="5" l="1"/>
  <c r="FZ10" i="6"/>
  <c r="FX2" i="5" l="1"/>
  <c r="GA10" i="6"/>
  <c r="FY2" i="5" l="1"/>
  <c r="GB10" i="6"/>
  <c r="FZ2" i="5" l="1"/>
  <c r="GC10" i="6"/>
  <c r="GA2" i="5" l="1"/>
  <c r="GD10" i="6"/>
  <c r="GB2" i="5" l="1"/>
  <c r="GE10" i="6"/>
  <c r="GC2" i="5" l="1"/>
  <c r="GF10" i="6"/>
  <c r="GD2" i="5" l="1"/>
  <c r="GG10" i="6"/>
  <c r="GE2" i="5" l="1"/>
  <c r="GH10" i="6"/>
  <c r="GF2" i="5" l="1"/>
  <c r="GI10" i="6"/>
  <c r="GG2" i="5" l="1"/>
  <c r="GJ10" i="6"/>
  <c r="GH2" i="5" l="1"/>
  <c r="GK10" i="6"/>
  <c r="GI2" i="5" l="1"/>
  <c r="GL10" i="6"/>
  <c r="GJ2" i="5" l="1"/>
  <c r="GM10" i="6"/>
  <c r="GK2" i="5" l="1"/>
  <c r="GN10" i="6"/>
  <c r="GL2" i="5" l="1"/>
  <c r="GO10" i="6"/>
  <c r="GM2" i="5" l="1"/>
  <c r="GP10" i="6"/>
  <c r="GN2" i="5" l="1"/>
  <c r="GQ10" i="6"/>
  <c r="GO2" i="5" l="1"/>
  <c r="GR10" i="6"/>
  <c r="GP2" i="5" l="1"/>
  <c r="GS10" i="6"/>
  <c r="GQ2" i="5" l="1"/>
  <c r="GT10" i="6"/>
  <c r="GR2" i="5" l="1"/>
  <c r="GU10" i="6"/>
  <c r="GS2" i="5" l="1"/>
  <c r="GV10" i="6"/>
  <c r="GT2" i="5" l="1"/>
  <c r="GW10" i="6"/>
  <c r="GU2" i="5" l="1"/>
  <c r="GX10" i="6"/>
  <c r="GV2" i="5" l="1"/>
  <c r="GY10" i="6"/>
  <c r="GW2" i="5" l="1"/>
  <c r="GZ10" i="6"/>
  <c r="GX2" i="5" l="1"/>
  <c r="HA10" i="6"/>
  <c r="GY2" i="5" l="1"/>
  <c r="HB10" i="6"/>
  <c r="GZ2" i="5" l="1"/>
  <c r="HC10" i="6"/>
  <c r="HA2" i="5" l="1"/>
  <c r="HD10" i="6"/>
  <c r="HB2" i="5" l="1"/>
  <c r="HE10" i="6"/>
  <c r="HC2" i="5" l="1"/>
  <c r="HF10" i="6"/>
  <c r="F64" i="4"/>
  <c r="F65" i="4" s="1"/>
  <c r="E73" i="4" s="1"/>
  <c r="F67" i="4"/>
  <c r="G46" i="4"/>
  <c r="G63" i="4"/>
  <c r="HD2" i="5" l="1"/>
  <c r="HG10" i="6"/>
  <c r="G64" i="4"/>
  <c r="F68" i="4"/>
  <c r="E76" i="4"/>
  <c r="G65" i="4"/>
  <c r="HE2" i="5" l="1"/>
  <c r="HH10" i="6"/>
  <c r="HF2" i="5" l="1"/>
  <c r="HI10" i="6"/>
  <c r="HG2" i="5" l="1"/>
  <c r="HJ10" i="6"/>
  <c r="HH2" i="5" l="1"/>
  <c r="HK10" i="6"/>
  <c r="HI2" i="5" s="1"/>
</calcChain>
</file>

<file path=xl/sharedStrings.xml><?xml version="1.0" encoding="utf-8"?>
<sst xmlns="http://schemas.openxmlformats.org/spreadsheetml/2006/main" count="1005" uniqueCount="967">
  <si>
    <t>Block Time Stamp (UTC)</t>
  </si>
  <si>
    <t>1H2zrVQxU3ymunr9CunjoActooLW2ryQK7</t>
  </si>
  <si>
    <t xml:space="preserve">1Li4mUc3hCGMB6cgQiJCwTvLMYwkfKHZY8 </t>
  </si>
  <si>
    <t>PLUSTOKEN PREMIX AND MIXER INFLOW ACCOUNTING</t>
  </si>
  <si>
    <t>MAJOR SOURCE</t>
  </si>
  <si>
    <t>SUB-SOURCE</t>
  </si>
  <si>
    <t>MIXED</t>
  </si>
  <si>
    <t>CURRENT BALANCE</t>
  </si>
  <si>
    <t>TOTAL</t>
  </si>
  <si>
    <t xml:space="preserve">Refined Medium Article Analysis (Posted 23-Oct-19) Dates: 2-Aug-19 to 20-Sep-19 Mix Noted 7-Aug-19      </t>
  </si>
  <si>
    <t xml:space="preserve">1EW8pAGwaajwYdCX3biXittTjqgoWMxJSY </t>
  </si>
  <si>
    <t xml:space="preserve">15DW4Gzzd9aHokX9bPaxm2GzRR1s6mtCUU </t>
  </si>
  <si>
    <t xml:space="preserve">1CeaW7RwjgenBMX2LgToSBrXj5rH1RBoeh </t>
  </si>
  <si>
    <t xml:space="preserve">1CD3EkiCu46BZubFVYT4VdoDBv9dXewZ5 </t>
  </si>
  <si>
    <t>1M1TfsvbmJD5CVhrwXsidRrpVrXY8f5rGU</t>
  </si>
  <si>
    <t>15quT1Uo7c3JU9CxfQLshtbgt3KH5F1fXn</t>
  </si>
  <si>
    <t xml:space="preserve">125nvLnMTZr25euwYd3EmEcY1jWUYoKGYK </t>
  </si>
  <si>
    <t>33FKcwFhFBKWHh46Ksmxs3QBu8HV7h8QdF  (Not Included In Original Analysis) Active Dates: 13-Aug-19 to 2-Sep-19</t>
  </si>
  <si>
    <t>144Gmtziqags1YMviKAf856nLUG36vURwG</t>
  </si>
  <si>
    <t>https://oxt.me/address/144Gmtziqags1YMviKAf856nLUG36vURwG</t>
  </si>
  <si>
    <t>1Fa2W871bMJD5Ja1ZUpKqrqVetqmy2MEc7</t>
  </si>
  <si>
    <t>https://oxt.me/address/1Fa2W871bMJD5Ja1ZUpKqrqVetqmy2MEc7</t>
  </si>
  <si>
    <t>1QAWMaLUxXThrU9rw3Q9zwmoGgVEnH57ho</t>
  </si>
  <si>
    <t>https://oxt.me/address/1QAWMaLUxXThrU9rw3Q9zwmoGgVEnH57ho</t>
  </si>
  <si>
    <t>1M9hT9dq9gDUxRm39gCELtDmkThpDqXQT7</t>
  </si>
  <si>
    <t>https://oxt.me/address/1M9hT9dq9gDUxRm39gCELtDmkThpDqXQT7</t>
  </si>
  <si>
    <t>3KYAUymLWLVocgE2wdNEGCDmrxVTZrAp4N</t>
  </si>
  <si>
    <t>https://oxt.me/address/3KYAUymLWLVocgE2wdNEGCDmrxVTZrAp4N</t>
  </si>
  <si>
    <t>1MphtpYJv5E7MmL6y7Ys7doD2cN5w5Hyr3</t>
  </si>
  <si>
    <t>https://oxt.me/address/1MphtpYJv5E7MmL6y7Ys7doD2cN5w5Hyr3</t>
  </si>
  <si>
    <t>176n2wLZ2J1wrRbN6bFVYyJXjWN4H5Nuuz</t>
  </si>
  <si>
    <t>https://oxt.me/address/176n2wLZ2J1wrRbN6bFVYyJXjWN4H5Nuuz</t>
  </si>
  <si>
    <t>13KasFCnTemY9FifS8MovtfFLj9kqqcfEU</t>
  </si>
  <si>
    <t>https://oxt.me/address/13KasFCnTemY9FifS8MovtfFLj9kqqcfEU</t>
  </si>
  <si>
    <t>Current Batch Remaining</t>
  </si>
  <si>
    <t>1DJnQX6zmf9LA4H7LiHGdw84qeAgQ27oYr</t>
  </si>
  <si>
    <t>https://oxt.me/address/1DJnQX6zmf9LA4H7LiHGdw84qeAgQ27oYr</t>
  </si>
  <si>
    <t>33FKcwFhFBKWHh46Ksmxs3QBu8HV7h8QdF / 1MMea1NkjidazwNyMvY1xLkYeW5HA5vzeJ</t>
  </si>
  <si>
    <t>33FKcwFhFBKWHh46Ksmxs3QBu8HV7h8QdF / 14gKbB4AfQ3GMEeojDYDNjhkjmS6hrxUtg</t>
  </si>
  <si>
    <t>1LUSHJ4ZnppwbWnSSF1rEMqpCTz2iV6EiM</t>
  </si>
  <si>
    <t>https://oxt.me/address/1LUSHJ4ZnppwbWnSSF1rEMqpCTz2iV6EiM</t>
  </si>
  <si>
    <t>Unaccounted For in Overall PlusToken Wallet Cluster Active Dates: 22-Aug-19 to 20-Sep-19</t>
  </si>
  <si>
    <t>1HtuByoWYSsj7iekrGeTAagTQWemYiTXQo         2119</t>
  </si>
  <si>
    <t xml:space="preserve">3LmDKfPpuLh4MCzsR9BrU7m8tcSV69T6Ah </t>
  </si>
  <si>
    <t>19m9Ab7Vj2MJv8DfesM2fGPxD2yV3u1xQA</t>
  </si>
  <si>
    <t>https://oxt.me/address/19m9Ab7Vj2MJv8DfesM2fGPxD2yV3u1xQA</t>
  </si>
  <si>
    <t>VIA: 1B67M6ABnwJ6nrbWx7RyAEqZiu8qwUZgeV</t>
  </si>
  <si>
    <t>https://oxt.me/transaction/tiid/2296180858</t>
  </si>
  <si>
    <t>January</t>
  </si>
  <si>
    <t>1Gc91za7TDhjszU5gkdZLJzV2dqjN1Nnji</t>
  </si>
  <si>
    <t>BLX Close</t>
  </si>
  <si>
    <t>https://oxt.me/address/tiid/2391620984</t>
  </si>
  <si>
    <t>1JD6wTrEaKJVpK2MfDHxhUbbgcz3dy9rLC  / ANON-2395860941</t>
  </si>
  <si>
    <t>1GqS2P9su9L2jepuqM4YCq5ymNWHv1dubM</t>
  </si>
  <si>
    <t>15pyB7yDpuxENYiAjFf5SWFrdqoH5ijMy2</t>
  </si>
  <si>
    <t>https://oxt.me/address/15pyB7yDpuxENYiAjFf5SWFrdqoH5ijMy2</t>
  </si>
  <si>
    <t>SUBTOTALS</t>
  </si>
  <si>
    <t>February</t>
  </si>
  <si>
    <t>TOTALS</t>
  </si>
  <si>
    <t>DATE</t>
  </si>
  <si>
    <t>New Mix Deposits</t>
  </si>
  <si>
    <t>OVEARLL PlusToken HOARD TOTALS</t>
  </si>
  <si>
    <t>January Report</t>
  </si>
  <si>
    <t>February Report</t>
  </si>
  <si>
    <t>Change (BTC)</t>
  </si>
  <si>
    <t>Unmixed BTC</t>
  </si>
  <si>
    <t>Mixed BTC</t>
  </si>
  <si>
    <t>Total BTC</t>
  </si>
  <si>
    <t>Distributed and Distributing</t>
  </si>
  <si>
    <t>Swap mixer deposit address 19Q3X1yoGwcuwijzHLUyuRG9zBNdzaSbq for 1CeaW7RwjgenBMX2LgToSBrXj5rH1RBoeh (+2600 BTC Mixed)</t>
  </si>
  <si>
    <t>New mixer deposit: 3LmDKfPpuLh4MCzsR9BrU7m8tcSV69T6Ah (+967 BTC Mixed)</t>
  </si>
  <si>
    <t>New mixer deposit: 1HtuByoWYSsj7iekrGeTAagTQWemYiTXQo (+2199 BTC Mixed)</t>
  </si>
  <si>
    <t>Accounted For</t>
  </si>
  <si>
    <t>DISTRIBUTION ACCOUNTING</t>
  </si>
  <si>
    <t>Item</t>
  </si>
  <si>
    <t>Change</t>
  </si>
  <si>
    <t>Mixed</t>
  </si>
  <si>
    <t>DISTRIBUTED - Accounted For</t>
  </si>
  <si>
    <t>DISTRIBUTED - Assumed</t>
  </si>
  <si>
    <t>DISTRIBUTING - Current Batch Distributed</t>
  </si>
  <si>
    <t>-</t>
  </si>
  <si>
    <t>DISTRIBUTING - Current Batch Remaining</t>
  </si>
  <si>
    <t>NEXT DISTRIBUTION BATCH - Remaining</t>
  </si>
  <si>
    <t>ASSUMED MIXING - LOWER BOUND</t>
  </si>
  <si>
    <t>DISTRIBUTED+ASSUMPTIONS SUBTOTAL</t>
  </si>
  <si>
    <t>BH</t>
  </si>
  <si>
    <t>BTC</t>
  </si>
  <si>
    <t>Self-Shuffle Merge TxID</t>
  </si>
  <si>
    <t>BTC Remaining</t>
  </si>
  <si>
    <t>BTC Distributed</t>
  </si>
  <si>
    <t>ACCOUNTED FOR =DISTRIBUTED+ASSUMPTIONS+DISTRIBUTING</t>
  </si>
  <si>
    <t>Percent Accounted For (Accounted For / Mixed)</t>
  </si>
  <si>
    <t>Percent Mixed But Not Distributed (Mixed But Not Distributed / Mixed)</t>
  </si>
  <si>
    <t>REMAINING COINS ACCOUNTING</t>
  </si>
  <si>
    <t>BTC Distributed From PlusToken Mixing (LHS)</t>
  </si>
  <si>
    <t>ec72632ef55b4ab58a7f21ef47da2b28514cc5d71ed1dd234fd761d89ac87bf1</t>
  </si>
  <si>
    <t>79b16da97e092881c44356ee770dc6584542ad0c77807c1435dd666c15818d3b</t>
  </si>
  <si>
    <t>BLX Close Tradingview (RHS)</t>
  </si>
  <si>
    <t>aae5ed96645ff9bd4b2c7518ca8e1fb94a503d910156ca639a3bc641bf5526eb</t>
  </si>
  <si>
    <t>0146ec977b9af10eb97d2f5e8b7baf0bada9963945f599261c05f2084549b2d3</t>
  </si>
  <si>
    <t>3f2ed8fab9dded48d96ebb612be7dd0d4e96f49b26ca547689ab911978a2e907</t>
  </si>
  <si>
    <t>6e71c16710a2c3e652462ba0376c85e00d5f2f934996736ec78e0d4382b76fc4</t>
  </si>
  <si>
    <t>13ea212427a3157bb4be27a5b2e086c31388e6942a13feb2d0fc69c1314838e5</t>
  </si>
  <si>
    <t>USD</t>
  </si>
  <si>
    <t>5442b4c1e5cd1a179df714e4c3cb573cc467438fb2738bfd8b122f7209b21fc9</t>
  </si>
  <si>
    <t>98769590740558faacfcb3b683a3a574ad411cc953dc088bfc7403bbb4fe3abf</t>
  </si>
  <si>
    <t>e3169ea63211e6e849c1ccec26c880bc7cc5f80961797e1158d02e6e17c4e615</t>
  </si>
  <si>
    <t>b294cd08e982745165e6f2a43d2a51a84af6322f6a845b3d42f7b6e3ed03a979</t>
  </si>
  <si>
    <t>4f7c7994c59946e878bd84488309000cf1d9f0cbd36a71ac9575360efa1c7359</t>
  </si>
  <si>
    <t>390cb6a7563fbce90bf69192a2a7d1606efc3899ce9198ab219beadcd4588469</t>
  </si>
  <si>
    <t>98c51d20325fd3a14a90ed90b9a5c9eff6849e0aed51c6b3b90f112a3832daa3</t>
  </si>
  <si>
    <t>f8669896290d8e6c08b6e8e908bf51773a03e24cf10a6266a1e516625fa85393</t>
  </si>
  <si>
    <t>4f246d1ab4b7a2dda3b90b416a502913bf5d64b3775bbffde8f8890727e623eb</t>
  </si>
  <si>
    <t>Cumlative Distribution</t>
  </si>
  <si>
    <t>9885373265362baa37b0985be97c28fae37080760a3d6bdf7880e502da016df9</t>
  </si>
  <si>
    <t>e49642cd7dcebe6ab9afbaced02881da4f84bce991d64ec129f468183a924fd2</t>
  </si>
  <si>
    <t>7f196ab5510807ee5b732fd4ecf2bd245f6353eb732d600eedb9cf4cbd48493e</t>
  </si>
  <si>
    <t>e2784a74e2697c93e74ac8baa0c0f697a23ac45e43bafa684aa038c2756fa736</t>
  </si>
  <si>
    <t>d74024b63b5179c850e9e8dd5d9d1a13c58666535772f6754bd7f8df9011d88c</t>
  </si>
  <si>
    <t>e99fe417e7c0e76445f402c2fcbe82834cc7d00e83b4d73c9462177e2e33a446</t>
  </si>
  <si>
    <t>0fa8146dc08fbd6317444a9d09c83ebafddec7f867416d51d395a4c3c79be602</t>
  </si>
  <si>
    <t>5ffc9874be3eb252ca61f65d9dd459f6cec086440fbda6af7a2deaea858e8f3d</t>
  </si>
  <si>
    <t>ab0f5f0321923b9e9638364878fafcd775e78cdf86cfd7c4f0c98f62d534a8a0</t>
  </si>
  <si>
    <t>1822d93449b6e7acc17fae550fa54788f3ef0fed7b6eb7243bed5591c9105e48</t>
  </si>
  <si>
    <t>380dfa490d1da94f312f107cbb02f0817514d61e6e8b9cfa3d98db35b1f7feac</t>
  </si>
  <si>
    <t>6a4d99e169bdbdb370d6c9446fd30f598a7a47e8163a94e76ef9f8f85804f2b6</t>
  </si>
  <si>
    <t>8cc3aaaa61d6e5706fc5cbe4199202843f189f86e69aacd645f0fd03f7674dc7</t>
  </si>
  <si>
    <t>ac677fb91bae36780dccbc9ae0b3cd5799f00cadaa02298e488eb08da2ee4a5a</t>
  </si>
  <si>
    <t>ecf5b50bed152efc01dd0a921dbe4c06199dce127b88ca1f41297013b42c9ee8</t>
  </si>
  <si>
    <t>6eb4930c80dca49edd02ddb2746787e649391720c87621fc04a144988d782b49</t>
  </si>
  <si>
    <t>b5c288a76d982fda1c7580ab6540d881405496df8b104950b42ffeef9da23eac</t>
  </si>
  <si>
    <t>5964e37e5b1c40ef67a2b6edda858052a4373d5fccc5181f5b0cee10af31b693</t>
  </si>
  <si>
    <t>256a411701cd05c3d7fa9743f59da5487a554e9b713be03e24b4ed21644a5370</t>
  </si>
  <si>
    <t>02e5e2d796514135b469bff515dec212d235690a31e9f2dfef8c2d510c1cdf21</t>
  </si>
  <si>
    <t>30b2fa5669f4ca9a9420d62592dd812986578752462016ced40c165517f56c64</t>
  </si>
  <si>
    <t>e7248f05258f2690bb096ab36ad2a2adf5fc14f710eff6c612e7a62ccf8deddc</t>
  </si>
  <si>
    <t>385c615d59ba23f47a7adcd84effa8890533fdfed7ef790d91752b0413f82a42</t>
  </si>
  <si>
    <t>82e1863545583cc2535b75edf0725f55d7ecc728c8128bbe647b3c70fb1b3ee5</t>
  </si>
  <si>
    <t>ef145a42faa4d3c76b6d436cb85269b48a567405426fb8965716d411bccf8cf8</t>
  </si>
  <si>
    <t>2f5d93de6d0b3f7597d4fa6bcd268cbbb09015f2591313b6b47a704d53655688</t>
  </si>
  <si>
    <t>85f5acfe232b179a2effbe72d784dcc30e89b1a7e7bcb20303919013ab62eaac</t>
  </si>
  <si>
    <t>eee14b35ce2a572ac4ed45331ae9b09959e54332ebda7c2b74bbfd17a60c1dc0</t>
  </si>
  <si>
    <t>0927b8eef02afdf3a1cc89f7f904ada9433e86b3fff54b1ee1a0032c1822109a</t>
  </si>
  <si>
    <t>9de379a0f96a2755a5c1e6b3d25c5bc43b4c80b253dde726ea8b548d4a0f9a00</t>
  </si>
  <si>
    <t>e106afee1d9dcbce90acba1edfd3bd656c765a3d63dede72f95abd98bf2a7203</t>
  </si>
  <si>
    <t>1c19c83e5804a834bdf2727ede4772dd924ff85b9e22776b641294e05f412f7a</t>
  </si>
  <si>
    <t>1db65ed94bc081a867521a3b5a4ead2100638af2f7b9e8c6eb76b4a2a1043c98</t>
  </si>
  <si>
    <t>01c59db8078e625aadaacc1c67bb25cbf34a19820eae64ff966729fd6ab8ff93</t>
  </si>
  <si>
    <t>449398962923a5e28b33dcff820aca289681a22301d288dba00e6a767e8c93b8</t>
  </si>
  <si>
    <t>1ec63f37abdf21cba76c2a918f38d44cfc7dd57cfb31e37367060b3f5c0a68bf</t>
  </si>
  <si>
    <t>9847d8cdbe83ff2773a20624377d48c05290f29a2fbac0fc6e443c202db6e358</t>
  </si>
  <si>
    <t>6a88dbe6f4124050bd9de631613486b9562b2e00e808e6008275ea149fb0d87a</t>
  </si>
  <si>
    <t>38cc7e0c975c55b916ffc3bacd5e00ad4423da6d9d8435afa69cdfaf67824455</t>
  </si>
  <si>
    <t>55bf63406a5b084b152adb4ec219529800b0e4f56ad5cfde59b269b6bc3c7ac4</t>
  </si>
  <si>
    <t>ab055b081e44832b169c7e07f4a0255956272fd0e7bc730b1e9e9df87b64fbaa</t>
  </si>
  <si>
    <t>64cd418e5da5e6db000a90ad3c7c9b1c8a1f327280f9d4c9573f6be2efd341a4</t>
  </si>
  <si>
    <t>f884707ccd646532521cc89ec8af845db51ae4e154e754163cca77d2a88e2c0a</t>
  </si>
  <si>
    <t>e39cb85fb76ad111822497fff90141b6516e07fbdc039523a1b7d91c28e03c5f</t>
  </si>
  <si>
    <t>78321d8f8c6af62da72952daccf7cab93bb09bc45dc667e2078111b38d977ec7</t>
  </si>
  <si>
    <t>ef34ea1d5e7ba7c126db867f31e763826242b09ddbe53e980be77f9d27122f8c</t>
  </si>
  <si>
    <t>d1fca2c2e3a0088f3e58b5cd52eae64572b22a02d2cbb984993762c88082d54e</t>
  </si>
  <si>
    <t>f4ef532e831e6f74db37eb0c6b9b479d22b40c6cff84af626a85c8520b2968d4</t>
  </si>
  <si>
    <t>66f8b31f44fae60664b115ba526128c0fc93be7eb8a7ba0481c01bc4dc5c0502</t>
  </si>
  <si>
    <t>769bf30a1496d1fe6e6a66bf3529b89839f4fbb3ce231e0f3836bd23c2e79d68</t>
  </si>
  <si>
    <t>60017acdf1bde44b94201b9ba5dae975d735246801a0c3e504c600e7b6678f61</t>
  </si>
  <si>
    <t>0ff5cd310c52799ae7a9d980f72d9bd0c93cf73de5c06aae958ac6872cbfd82d</t>
  </si>
  <si>
    <t>95e13c792d4ac229bfb3ee3485c863813f34778451127e8cdd3132aa45f758b6</t>
  </si>
  <si>
    <t>4b54bbfb865135c1d11ab8ac9e028af03e86db559a6dd3b971f242ec6496fb4e</t>
  </si>
  <si>
    <t>e48369bbb32efce1ecda9e306fce38af05ec37797a4771de2c1ed6a565439e76</t>
  </si>
  <si>
    <t>4241f902bd255c09f552bd84f92afe0b9606b86d6814c5f15c520e0d3f5ad948</t>
  </si>
  <si>
    <t>237787d6bac11fb24e8b2078b3ccadffc72afb85d13dfeedf463b7b090eaaa95</t>
  </si>
  <si>
    <t>a015e9bcab5bf50887fa11a784e7280c220cd065fdeffcf35fc64e5ede000dfb</t>
  </si>
  <si>
    <t>073458219aea5480d57dae913524c4aa90daeef16fda550d9145732068ec2223</t>
  </si>
  <si>
    <t>c382c9b433e90fddc12b51ccc2a0a3415889e8a5190cdcc7a635c518bf49dcf2</t>
  </si>
  <si>
    <t>f3b514dd9a2acc01501981cc5ab5bf1bbe6a9495909f6d45c18b2ba32459277b</t>
  </si>
  <si>
    <t>76b87153838c515c4541ac6f6e9803a05587a95a95bbc3832581898a7d208b76</t>
  </si>
  <si>
    <t>9e38d5316ec0080e538218ac2d6f6ef46c6154d5340d0a7a37b81423faf537be</t>
  </si>
  <si>
    <t>a9b2c1b8b3deb9eee587027acac43ffd9310fa1cf82f77ae58bcb2567ef2c7bf</t>
  </si>
  <si>
    <t>97a955984f1554316afc4b0cb3fe5ef5bcb43225f0dc0ed5f4ac632f398c1b78</t>
  </si>
  <si>
    <t>ed65e1232e9f3d68eb344b07637d85a38d70d9a3babaafeb1f148bdaa1a629f0</t>
  </si>
  <si>
    <t>cd55450c33972a6f33b6fd469bafbdcaa951ad1168e4ad0eaeeb48beaf029606</t>
  </si>
  <si>
    <t xml:space="preserve">4857882045256ef41b24f10970893c262decfab4f41be40d51977b878957dc4c </t>
  </si>
  <si>
    <t>d443440ee6cbc3383e4b85842dadcfb2bd6319eb3649655537fb3361afa06f66</t>
  </si>
  <si>
    <t>613a27efe25b3aabd8f061f6f396b979dfd0eba173fa8f8802998e5f7924b65a</t>
  </si>
  <si>
    <t>01f015d00e6ce3e4f113cf42debfe7b7c35028ba6f9eab6756a7e0ead07df512</t>
  </si>
  <si>
    <t>ac959c8598d9bbd739c35160952dd3b47aef7875382550f64dfbaf2e23099caf</t>
  </si>
  <si>
    <t>f7dcfa49c20cd915b8ecc2e84dd3cb8f53844df4d04689008a55ed91bd5baee4</t>
  </si>
  <si>
    <t>a4d728caea4ebc38f4a309a5840a0b5ceb0987bf0a2c96f4b574cf8acd7630bf</t>
  </si>
  <si>
    <t>39f4cdd12bda206e2a032830a2b372158e73414dd88e95675d94b7905094dee0</t>
  </si>
  <si>
    <t>2de615c13c6e98236b931a68028d54b26995ab7559236ee7dcb0fcab9d560456</t>
  </si>
  <si>
    <t>3654a4d37741589a1e388086bd5d581a5072455f2a62deda06f71fc369cafd08</t>
  </si>
  <si>
    <t>5a0ac0f29fa06150590a6af5d6fbf62ce55d63509fdae7fd8cede5dccdaeacad</t>
  </si>
  <si>
    <t>2cf0469e69b453a186a8913ff02be84496808d6d575f69bd618117029e32613d</t>
  </si>
  <si>
    <t>ad6798510e76226f340a6c15e103ab0c04f1c46c3c6c1ed83163e316522429e1</t>
  </si>
  <si>
    <t>740884be481c21b4c64d0343fcb2c80be5c31233488422a1f96699ec73c2b0aa</t>
  </si>
  <si>
    <t>488f3953252466840877507043100ec5525acff8963707b68442890f0bb023d5</t>
  </si>
  <si>
    <t>2d3eda672c86887a5d69c79c4f24d87806014ade5684444ae7bceee12f50f0a3</t>
  </si>
  <si>
    <t>3201d76fa75eaa98e9f373bb1f0240e1d91e5efd2bdd908ff0e2e9b1d040b507</t>
  </si>
  <si>
    <t>178de03d241790e8b7f9a115170c3469d747e126d57ce153036916ff480ad5da</t>
  </si>
  <si>
    <t>c06b920bdd9a1233e4d9ecdb99aab405b8dcdb011db138601ac96263578ef52b</t>
  </si>
  <si>
    <t>e4eff62a45f88f29022537b7925b68787147d4b6b518e80bce1c32473e1522da</t>
  </si>
  <si>
    <t>881842301ade3e65d383b63ccdf67c8bc7566f17019fb270185fa11ba3135104</t>
  </si>
  <si>
    <t>c1d159b4e4362d0bca54e1ad3e500a9f02d6135d16bff2782a9669cfc004d8f3</t>
  </si>
  <si>
    <t>da346d2ed0edea8649549ef96f0990a1ce307bb26ce12ca405819e578a830b55</t>
  </si>
  <si>
    <t>73810fe1ea919bef60812270f6e43cc08471c435afa5e57b68582fe47e2a0c1a</t>
  </si>
  <si>
    <t>b13a57c6ac7f3af9d797308ec4cf348dbde9dda89537cfbf0dac9613368204ea</t>
  </si>
  <si>
    <t>412afbf36cdbd7478855b73e766d9a7fd07fe78184583765dca4411532edb12a</t>
  </si>
  <si>
    <t>1bb13f79c6ad87593319b4326fa0742351561ab4287bd4bca5696bf6b949ab9b</t>
  </si>
  <si>
    <t>936c5ca3c83d5f52aa3fe3b7f4ceea2187af077ac776c999bd13425eee9bef01</t>
  </si>
  <si>
    <t>722fb1eae4928963d6fe8a6671eb68900d4378836a71f50b85a8c2e3cc7b5bf2</t>
  </si>
  <si>
    <t>efcaf2cdca85ac3005fa0adf06e001ccf10d22d661c4fdeea14fccb774001d93</t>
  </si>
  <si>
    <t>01f49af7ce8dfe692c342eb40f68e4fc984153a6589de51d5d98f7a59b02142c</t>
  </si>
  <si>
    <t>f6981324e9061753bfcb7246519045b240cab89936645e74ea884f3188e48a9f</t>
  </si>
  <si>
    <t>adb7e3e3581fd69e58850e8feeac7b3a5e2b968871c1f50eb9c36d06b3e99935</t>
  </si>
  <si>
    <t>ddb939f13c8efbf4beeadf33119d0777d51b7abd1994871e2d091d5b7412ecb9</t>
  </si>
  <si>
    <t>6c597bfae25ff22abfdbfa54677c5b78c12537df2f1968b79bece4ec2d1bf6ad</t>
  </si>
  <si>
    <t>99655a73d1569a601350abd5640ffd64fbefe8fee3de5b4541a5fdcbcf4b2ed0</t>
  </si>
  <si>
    <t>6b91805c275d18b2ec7b4b43302c422b39308d8242e777e8a09bde2515a69dee</t>
  </si>
  <si>
    <t>9e4d8ea2ff623431a4609526fa7c92a3ec437ddcb9bfe7097a7f5a3987c62afb</t>
  </si>
  <si>
    <t>d4df42dfcbdfde9a0f01c6566e2bdbf7ecf5223587e2943abf2f6b208bdb0962</t>
  </si>
  <si>
    <t>d1ed13c83f783ed1fe31244ab0d90a4f3bab8aca58370a72af2149ddd89db2c0</t>
  </si>
  <si>
    <t>2a7b6d8ccc983c111fa4843076a6ec6ccf98c437e54408548b6463d710b1dd42</t>
  </si>
  <si>
    <t>99b5717ea05f5dcfa4336f04e7e8ceb6870b6df1142efa349796444badc4111f</t>
  </si>
  <si>
    <t>2eebee45fe501359c762db718ae98e6d0a652bb61fedb25a912aa64debee6ac0</t>
  </si>
  <si>
    <t>61e8de52910eedd7fba303c73984fb3045cd9f1fefc0ac86b38af52563e4f8ed</t>
  </si>
  <si>
    <t>3140f0240cc233b53551159c6b1280534c777098c8d906164d815ee743378daa</t>
  </si>
  <si>
    <t>a279bc8f7f335e7c85a56bff8f8b36325b9e24cb9984875cd41b9deb49b25eec</t>
  </si>
  <si>
    <t>e3167857d28a0f590d6d689ead373369803249c06d6695266e3c148c865e59ae</t>
  </si>
  <si>
    <t>bbdaf48a539b37ac6bbbe5c9ec939ef50a503ecb6f54105adae5df11671d275f</t>
  </si>
  <si>
    <t>5c8718727285f091dce9a1b3c06f820f160d9f72da40ba64928c722761c0b651</t>
  </si>
  <si>
    <t>a35df6fb2e1e9d57e5fac256c06d83eca4ab24c150e6304dc450b62dab1cf8df</t>
  </si>
  <si>
    <t>6daf170e3248d552ac13e93ef362196e54930f2e72298107b9ae15a587ebe2c0</t>
  </si>
  <si>
    <t>0df1dd02c79d3704e903b1f1d59fa5d6761b5ba4ece1fe35e79dded314d251dc</t>
  </si>
  <si>
    <t>e9c69d4e0c20c4e15dc638f3e0ec53fb0b8122636530fe0a0ae531a0db48dd5c</t>
  </si>
  <si>
    <t>86c646e3d345beb35ea289cd4ebb9f43c63f6ab7209a36bf810481fadf0dce14</t>
  </si>
  <si>
    <t>5e48c8f8f8fd54f627b8d3a40acdad6a9a951a28d8599aeb9f5053ffec31ba8c</t>
  </si>
  <si>
    <t>30fa3a786174d6b93dfb08f17c5a74096a527b92a3ed5f98bfec7f922bebbe4e</t>
  </si>
  <si>
    <t>ffc9e75afcedc31d207f9a084ccaee54f9db486f9df8389958b36bed73e8c9ee</t>
  </si>
  <si>
    <t>435c0284051b701f5d6625d7f8f395e9584da7542ef208d8cbdb10c28be438c7</t>
  </si>
  <si>
    <t>b365652b320de6e39b4d7fcef1c3a209b482a0076ac1212e149705b8fdb7b6b3</t>
  </si>
  <si>
    <t>9965792d08417eb96506d27077ec173d8403e6180db17508d5cdb058107208a5</t>
  </si>
  <si>
    <t>21eedcd0f20d33d9eb4b0cd49eb0b6225f4a4305fda8886bdff88134ea2ba008</t>
  </si>
  <si>
    <t>44738535cdf2d84f1b610947b56eab58052b8ed929bdb9ceabda2ca90b7f4655</t>
  </si>
  <si>
    <t>afa640a6f3c5b34cde851364ce0404e346d03051dee63cbacfe0020d160edae1</t>
  </si>
  <si>
    <t>e0fc4da8a0ba204caaf9dec4c353eb11f21640d5120c88168d8a50c9aa662591</t>
  </si>
  <si>
    <t>bda80bfacedfae052ff6a2bc3641896583e13dca660d6142d26e6efd72e68a4a</t>
  </si>
  <si>
    <t>ec78e9cb69cab9f376814d096317f48d18933fe8fef67a05626e13ffdb9066c3</t>
  </si>
  <si>
    <t>a90cdcd78907c61214444743a663c61a5f67f1d0c0511cf3e7d6ee3c28a43e05</t>
  </si>
  <si>
    <t>9248328a60c914bd964e80c23ea810d5ad9c1c39e1afdc1bcbd053db5f694f0c</t>
  </si>
  <si>
    <t>03bd5562c86d4a411a7b2d49cbbc8984b596032c3c9d654b29820eaa2203e0bd</t>
  </si>
  <si>
    <t>b7977ab7314e9c1520d2e6a3c928fe2dae972d97bce7de0c8b8b06542f3f4097</t>
  </si>
  <si>
    <t>bcf609a6ee6bc1ea4d1a388985931a19b762ba172a004738c62ab92c86fe6537</t>
  </si>
  <si>
    <t>663793569ae3b2a9052ab9f19255aef1703974652d6682de9d39f3831ff08e2f</t>
  </si>
  <si>
    <t>474f47ef4b52ea0ebbefcbf134c9643197b6e530f101606a9aeea7da1005f4f0</t>
  </si>
  <si>
    <t>f4bbdaebe538a7236b1fda3d4d5642171cd9bffd9c4a46b0efe5a9b0334d31fb</t>
  </si>
  <si>
    <t>acabb81389573002088abc9349f9f438ebe373e2bc66f9b301066dadd81fdc8c</t>
  </si>
  <si>
    <t>d6833599824bf32399f4125f39d9360cfb622c76b31c97826f07092ee1064a29</t>
  </si>
  <si>
    <t>b5e1fd4bdab460beae5643db53cbfbf96194dbe7d9c5b9e3dcf1ebe91605a3cf</t>
  </si>
  <si>
    <t>8db46f457b66ba59db594ca51f684049c76c17e35db1996e3bc7292d50dee928</t>
  </si>
  <si>
    <t>24f9e98c1389fb5fc5a3480bb7a22d8b55e5cf5cee1f537548a224a014a3e30b</t>
  </si>
  <si>
    <t>53096d6877fd17ca30cb5fee036c5438f762b16009ee4b3e3f9ca4eb091cba88</t>
  </si>
  <si>
    <t>36b39d5e311f2042ec750fbfdbf3f046f1b4c711fbcf93d1af3a207625c3d59f</t>
  </si>
  <si>
    <t>c734059fcca9cf02e9053fee4d7126efe0a3c00b4437bdfddd33cc46b5795359</t>
  </si>
  <si>
    <t>263bdd949cc9967655b4f4305cd3ee28185035e0b2ed75b317da9afff5913093</t>
  </si>
  <si>
    <t>345a2ed6881dd64aae067026f0a89d481e7f8e6a694857d08e8e37a5c52a10d5</t>
  </si>
  <si>
    <t>d95d40a1b31865f9afd60bd2eb9334319bbea79c59b4c1a05c3e067bed44ef32</t>
  </si>
  <si>
    <t>d776c3303a93203c08c5697b21704becfed552a7886d461b319c1222faee4d8d</t>
  </si>
  <si>
    <t>c1c4740ae4d7303f77492459c2f079d0d1c9c69d58b82d3492bafedb89accda6</t>
  </si>
  <si>
    <t>708afa6b4dadc289d8396c7af816a88223ee388a5bafa7eae5fdd4654e45e195</t>
  </si>
  <si>
    <t>cd707259d3c10cb8e69422441807e2afeb204b37fcd944ba286fd33dfa52993a</t>
  </si>
  <si>
    <t>5530d79229e7cd4249eb70ca36d04913c2381909586816700f4de6f87dbb4a72</t>
  </si>
  <si>
    <t>9760f5fc60e371c0b7170e1d4d76a752dc00eda30f66cc9f4a5cbdbed9609748</t>
  </si>
  <si>
    <t>3c24f2c89ae34c50b326fe3cef64d85a37108eb1b0a34dc637c9b7dc2fbf6ad6</t>
  </si>
  <si>
    <t>bf4736627de2ea767312bf20d6a630910a743d463ddd059af959de5ae7bc3cad</t>
  </si>
  <si>
    <t>a232e9121550d5ba9cbc8f143549e860fcb8abb655295514d33cb3c99ba02590</t>
  </si>
  <si>
    <t>5f401e1c51818941b241e148140d13554b84a6aaa7edc047b3c645e9d7d5eb98</t>
  </si>
  <si>
    <t>1744ed54191178515d0cfc4314bb0fb94fc60ff587429ffad7c743a4f311c556</t>
  </si>
  <si>
    <t>393fd5418171f4a3fed9fce4440fdea42cc6e9e70799c8eb78cceb4a4895c578</t>
  </si>
  <si>
    <t>a24fe412b2e1e37e86d04e8692a78661f5ae9c2e6e668a90394c0eb371a182ef</t>
  </si>
  <si>
    <t>4b464ed002ec0fd6d5cc900b668e34979714b3216cba9dcb1f46edcd5fa88020</t>
  </si>
  <si>
    <t>d78594ab89e7e3682786192759c762336af8f25b3f3dd5f52f49de115d11fa1f</t>
  </si>
  <si>
    <t>afc4aa5a0022f4ce02acc0c78ff800a5841c5338eea9189b5db9cabbdbe0137a</t>
  </si>
  <si>
    <t>f763584e67664cc39fe4baeaf608c44b8a4b99b5531a4996dd7e7f970be94917</t>
  </si>
  <si>
    <t>d2fe33b6e2fda5bd9edf7880d2d15a129460bedb9791f75f14ceb9d7f46104fa</t>
  </si>
  <si>
    <t>484f21e171b32c78901b6d4b7a3c11d0087e9af9086370aa11ee327b04215a89</t>
  </si>
  <si>
    <t>ae2fcb87a81fc162a6d9a33f893413a24f4f923fac3ee17607fa199e271e9866</t>
  </si>
  <si>
    <t>984e5a31e4181279a4989e976b40f54371212c4dc14557c03c3777e366ce262b</t>
  </si>
  <si>
    <t>4c11776b72657957ba2f84d7792b39049dc1a59b790794f9a5ce0bde99775650</t>
  </si>
  <si>
    <t>01c71cc6995b5d4f0ba9d0b083f8c5bad809aa7cb901593295ce8c277f3299b2</t>
  </si>
  <si>
    <t>f7f47afe9558416d2413c03915e956812e7df3a22f6d1cb3dbb11d923e4de1b6</t>
  </si>
  <si>
    <t>f8eca1cd94c6aa70cf66f93fe7e5fbf22c3e1a51ed7d1f5326c64b40e8efb5aa</t>
  </si>
  <si>
    <t>691b6efd0b4d202174f06ad9c43de5fb869ccadf93185d15968f6c3cd779d31d</t>
  </si>
  <si>
    <t>1e8b68631d0dc19560d0b2dfdb54adcc117d10f9a7714800d10dd87d6a622000</t>
  </si>
  <si>
    <t>60840222d24100be0e6ce6019347fbb2ab0c9da07bba62cad62b83c644c5847f</t>
  </si>
  <si>
    <t>c23ef255d677f4a6679cb5a8b800b5a78970f32e5cd3d85f2918c18cd7479425</t>
  </si>
  <si>
    <t>e7c53a7df3d2b79b1a4126a52d4c6362fe45a4460b3ad9ad1c877420393b4fae</t>
  </si>
  <si>
    <t>c56baa26f845791a0d80c3afbc2b5e63a6cc2e4dd2c908318869e686bdcea152</t>
  </si>
  <si>
    <t>ec12a56f45e0372784a154aa93e99e5484ed6cafa240d5704a9694dc806b11b7</t>
  </si>
  <si>
    <t>5a808b34b28d8edc6fef0945b82cc16d32e3c698fdff6e9fc079dc66f9a92f94</t>
  </si>
  <si>
    <t>c8674d0da921772538aaa285230e9129d549f3c94e23df12cf6a065c6bade47e</t>
  </si>
  <si>
    <t>8c22566c18fdaa0a99ef13018fb6826197abdc9216e2381e7d2bf8de58aa2493</t>
  </si>
  <si>
    <t>04d38a9bb749fc93da83b94846581223e4d36ac9cd3f508f7037adcc9b538561</t>
  </si>
  <si>
    <t>f3afbdccdaf75aaa09b75fa6041e8efd6de411b3813770ade08ab64f0644a292</t>
  </si>
  <si>
    <t>bc43c56642d4319ef4314a40fa3ffbcd79b1447298025a464280911934516ca7</t>
  </si>
  <si>
    <t>eb5a57a4750862a82ef3f35b9b64274dc0348d116a540eed767ac9e1bb2b9de9</t>
  </si>
  <si>
    <t>d3fe0a121bba5e5c1003e2ab05e5124e5059c129c93322a06c2f1713891a1b68</t>
  </si>
  <si>
    <t>5f0a8444d5103a486fa3d7f9533e8139c28170bec69fe7341e896c22afb65dd7</t>
  </si>
  <si>
    <t>a56c5fd187f65fbbe8bd44e9ac56a8981bce5d22c7e3f3327f28ddb0de4840f7</t>
  </si>
  <si>
    <t>4df1c6644c16fa5466b829ace472ab4a360f598893458840bf5d1c620eb2c827</t>
  </si>
  <si>
    <t>4d5a3d3e1e81ea0da826c7cc9f4daf2e6b8bea2e9d9417bc22879ed0ec799be3</t>
  </si>
  <si>
    <t>8ece287737b77cb4f4c6621d5951806b231ff737aec8283c9489d2c640b3d1dd</t>
  </si>
  <si>
    <t>60808d6b9b91ff4a25981d0fbc7f6f817cca2c2911e882ac14f9142884da736f</t>
  </si>
  <si>
    <t>463f9638a3bc9fb0e48f085485d57b27796e5814e66062c28a13be156c560de7</t>
  </si>
  <si>
    <t>dd83961ab1d5fc60011e855889850eba89fbf5c2b57161ad91650ea66c4e63be</t>
  </si>
  <si>
    <t>5efa9396966621bd52a033d89fd8fd1f4ddc077b5a15d2469fc4442450724630</t>
  </si>
  <si>
    <t>5cfeb82c3e80104c38971a9bce79d2b049f411c10fcfc6994088a6a6e5ef11af</t>
  </si>
  <si>
    <t>147354cf580d1c0dccb01b5a565d9bbea19e91ad06d2ffaca9e4e021321961c0</t>
  </si>
  <si>
    <t>1774d9aedfec26fc33ef625d2c7422255627c21ed9eb4ef76618122fa48a8301</t>
  </si>
  <si>
    <t>e2aa4dbde80f9ef2ea0bf37796e08372cca247ec7840d746e3d944e21a1d4df9</t>
  </si>
  <si>
    <t>d271d3357a6c83dab1f17cc5432cc9fcd9b9a65980a7b4c61a35583b1c3968a4</t>
  </si>
  <si>
    <t>3830cfcacf88178b5184da9530cf37cb828044e8c0b0858d20d1bb7a30e4eea0</t>
  </si>
  <si>
    <t>ceab1d8aff01e3cc922a3776f512b96f04ba1f4932b45f108f21143fffd5a23a</t>
  </si>
  <si>
    <t>08ef19902dda680ec8e2f0d775f9958182b19279d74b51579e6b326f5f9ad2bf</t>
  </si>
  <si>
    <t>c52aa8a3a0a0afcd716e6ec24664918446f0274bfa836f0803f4f985bf2a50cb</t>
  </si>
  <si>
    <t>dad703031a4d38b8532fff7ab17a68fb33942dff7730bf6eddcc96fde767165b</t>
  </si>
  <si>
    <t>b1a437bb41d303851fa10cd1e2dfb86e55b032a570854a989f9437f858934462</t>
  </si>
  <si>
    <t>2e4bea656c2e95f0fcd51c42568b91df394b2a8ff53d6609dd40cafdd53995ce</t>
  </si>
  <si>
    <t>0b20f221040f42a91616797b70d2c5789e82f3f33a9279ea7099a28f57dfd1cb</t>
  </si>
  <si>
    <t>7762d9014754bed71c35f8f221a8dd05b5c2d5de46bae025d0881dc6816eac94</t>
  </si>
  <si>
    <t>7862c27f621d6fe63305dc75bda0aba50f13139b9b441d484d05b6e528cb1fb2</t>
  </si>
  <si>
    <t>211d0f33eae14be24140df85176039fb4a497b80a3e2aa842112ff1afee219f8</t>
  </si>
  <si>
    <t>9ad76f193f32c79dbdc802a56aa3efe0abfdd58dc56284a8857ee4d31894c944</t>
  </si>
  <si>
    <t>83814a0b95d6739320e04766909dd23b92211d84391984fc77f6a8bf8f32263a</t>
  </si>
  <si>
    <t>628b5d6d66053909733587de5dd7965d50294c40ff1d25d314c533b82c5124b6</t>
  </si>
  <si>
    <t>4cd671f1b763ac923121d7619e656608ee9c8ff43a20f4b4224aea803df04dd7</t>
  </si>
  <si>
    <t>80f4e9357d77e8c4be826731c86b58cfc3d52d8ce58307e6d06f6e0714845451</t>
  </si>
  <si>
    <t>3cdebea9fcc9ac901bb9c38c4e438d5e0d42503aa3f6ce17aaba63a2275ced20</t>
  </si>
  <si>
    <t>a3300943a94dce9e57a8f7dff72871199f64cada3e5edda9e08536321bf0ddbc</t>
  </si>
  <si>
    <t>1810392704850094e47e9b598ff30e93721b0a3872ac7f72b5ef83c48819cabd</t>
  </si>
  <si>
    <t>e4fff48ab972fd9e84ad38284068288cf4fcf0d145d2cca35798f07353629719</t>
  </si>
  <si>
    <t>f97ecb3e4d98a5812639cdc23aeefb84ed89454c0394de62758471b1c6eec2ca</t>
  </si>
  <si>
    <t>793d099894a8ef7ed38c4995f3ded6c8731692ea775dadf62549dddcf89ab20f</t>
  </si>
  <si>
    <t>a380505d93b83e3cf1102aa8f0c0b2d214dbe948743ce588625e4fd96fd143ad</t>
  </si>
  <si>
    <t>a19c1be96b2aaf45f6d850b79031caf5b7748d0677286efe4ac8ed00496b026d</t>
  </si>
  <si>
    <t>cbfaf66a32739f063556aae69968814d4560673a3782be5eca6f0260fbe9e43c</t>
  </si>
  <si>
    <t>9b15d5f212bbd1e79400d2d13244469ccf82e5810794a15007b8720b2a53460d</t>
  </si>
  <si>
    <t>495541a52d972705dfb9792d92ef6de1d42e162e21d3e668911edfb7ad960235</t>
  </si>
  <si>
    <t>451bc85d962b0a49f0a5fe29554ddd71bdd32ee137434343f537a7e253e0448c</t>
  </si>
  <si>
    <t>cabbc9e0704055ef4a40c83c88e6121cb2519f03da2f3ebbcfc56cacdfa952c0</t>
  </si>
  <si>
    <t>7b38459c63d476421771ad1be5c473db922371018860152230e9d4eca3cc94de</t>
  </si>
  <si>
    <t>f1d814460dd27cbd47374609f322a0874dd1c0279020a8e16c88743dff15f348</t>
  </si>
  <si>
    <t>16b61715acfacf5a086710c1e76ea14e01492598c1a2aad8749b6dd2dd7d0991</t>
  </si>
  <si>
    <t>40b24577037e99662d65f3952737be3f456b25e632482305ce44673049ce169b</t>
  </si>
  <si>
    <t>37f64f19cc3f2f1062e64e22525344f747d71abb09d583f35bfefa2b56ad7ab4</t>
  </si>
  <si>
    <t>c8165f757327c7644e23690ec6a38a3afc7b58cdc4c00591b143ab10dbd85ce5</t>
  </si>
  <si>
    <t>96d6d1860739013578ffa65b41e699b2438c2926ca50954d2fa0bb36baf564c8</t>
  </si>
  <si>
    <t>a21be202ac64c21616e61d9e81a8358b49154b8aaa424df583c3261eb26bdad8</t>
  </si>
  <si>
    <t>0eba3acff92f594127539752181feb4e3219ce00aa492a615282733002d7dd88</t>
  </si>
  <si>
    <t>6a52e12cc5d2ceb2916224f85f887e5722095d139b22a3458fc2f909a2fe22d9</t>
  </si>
  <si>
    <t>f301230587316ad026cad2d7b053df8e723a662af8fc19e55e69406f9dfbad06</t>
  </si>
  <si>
    <t>7fdf231d2824fe1099c9d99552b3f7b040bd36e46d8507672261b90cc6af1aa6</t>
  </si>
  <si>
    <t>91515bc5f3380d6a9f684a0177250f872af39419f1fe79ae8f7053e20720d124</t>
  </si>
  <si>
    <t>25c500bba97b0902b6245cfbb6f00e5b5a3a789437f26797a1fb55fa82b870f2</t>
  </si>
  <si>
    <t>aaa197bf33eb31621df9496e78f0182972ad10ad6372d2f188ddb822d337f031</t>
  </si>
  <si>
    <t>50cb8bc852ca5ed914ea84471756584798fe2d7fc9725dc68c8cf15e7f629073</t>
  </si>
  <si>
    <t>8a7d5183e3abd6b401809e77393fbe84d06cbaa2e1e3073e83a45e0fdec46d6f</t>
  </si>
  <si>
    <t>50f1d3d80cf3d2eed1cc930d5b9614644b4be0b77e81a590c39575b91c4ed2a0</t>
  </si>
  <si>
    <t>fa1b6881f750147fa5bc1cdb727d820a964132a9f8e00947e4b84557b2b67052</t>
  </si>
  <si>
    <t>5ad0799deb109752b8c0de773df95da7031a17a4ca2c567ba9a087642d59b2a8</t>
  </si>
  <si>
    <t>769e078e4fd78b87e07d03a8741229e0f5dba6d053af101ab82f2b2692ed4182</t>
  </si>
  <si>
    <t>92273dda0685792e2e7ffce35f20359c2d1b8c2c8a2c200f3a0d12d24d978ebe</t>
  </si>
  <si>
    <t>200800455906c485a30398f2d3df113fd5580cbb2f3f29aab2ff8911c591249d</t>
  </si>
  <si>
    <t>12bedd94149aec469352cd7082fa9703d5fb11e2966cc967b62a2d14723b440f</t>
  </si>
  <si>
    <t>69f585ae2c6fc6288cf766bbb1dc0a8fd6d20aaecb081d08c6b18d27a0590852</t>
  </si>
  <si>
    <t>66b51708ee54a6fc84a5a5f0d6bd5549c60929999497a37da035208d651a45bd</t>
  </si>
  <si>
    <t>503d3c92626ce0c02786ea5a3bb1b3eca2ccdacf4e8f6558da4235f4bdddc5c7</t>
  </si>
  <si>
    <t>ecaee33d30b4f1663436ba7af7aea206f8d20cd2c77a4999fa09e36a0fd125e3</t>
  </si>
  <si>
    <t>797065e943c47c146033b9d33d1f8a3746bbc767a9b5adba9a8da2629216f7e3</t>
  </si>
  <si>
    <t>82aa696ed967c8e4ac8339566986127e702a9f67d67a2be88c547cebb1816a30</t>
  </si>
  <si>
    <t>faebb1b2ea60e4c6e9e6b1e41c3a12b35be10c12e2743f41506f6d284ef94551</t>
  </si>
  <si>
    <t>3282b48490579a58977065caf67b08666b52f45121d4f88041efe29121c4ef91</t>
  </si>
  <si>
    <t>d669cbe07ed4a1fa1d306556a7e74c1b25deedb4a6de08793faf539a42f6722d</t>
  </si>
  <si>
    <t>f473ce58dad0d718325b046d1c8847a4f6812b186949df5aa49cce3efd3f1b16</t>
  </si>
  <si>
    <t>08c46f5fe8215b0885f321283f2a8c8ea04562e88f436a843e056cddcb7a95e7</t>
  </si>
  <si>
    <t>36e5d06c082a7e57c3b5896e692e45c5d40755f28e91bc8c5f9c5435d825c8e9</t>
  </si>
  <si>
    <t>3fa8eb88c7eeba563c9edf3b690094d3e44a9da5bdb4ce8e959d9786760e1609</t>
  </si>
  <si>
    <t>046caac6e5e2c23751f87f4aaad38d71eaa07b761969b3a58faf2bf3098a199d</t>
  </si>
  <si>
    <t>17a8d824bdc55e49b9dfac31fa029f0c372747144fd1ca2d45847afe2c80f040</t>
  </si>
  <si>
    <t>c1a8a5816bb7811a90fe29fca9c65e65f7d7946641e16104bbddde884bdcea94</t>
  </si>
  <si>
    <t>083d3e00dfd9645a5830de4d04669f6cf621305c67704b8222443c0a381082c9</t>
  </si>
  <si>
    <t>d8411c3fd3816374879fd3a192424e875a8b4eadb7fcbde6e3dc764c570fc34e</t>
  </si>
  <si>
    <t>3947fd6ca7d4c91254313c14cd95bc5d69aa14d59b79f6e45c0ea69362bb9c9d</t>
  </si>
  <si>
    <t>499151a89d75a4ee4d68c74015f647805c2b389b24d3822cf48f8f73cc423b84</t>
  </si>
  <si>
    <t>550d2c6e6254c7bb965a91f4ae91db79a2b0b7ebc3b0d59c5d48c19cf98de190</t>
  </si>
  <si>
    <t>80b1c8d870e2d51d2bd409587128803660d8141657fab74c445800c3738bd807</t>
  </si>
  <si>
    <t>8fb1b993dab18c30441d5136f6887c6aaae2059dc80a1684e51e76ca98eb1931</t>
  </si>
  <si>
    <t>ced0889ab0da4f6f9e00b4611007e9c4c66aff509b83c96776238536df8740a7</t>
  </si>
  <si>
    <t>3a87fe442bb541196968eef4187b8177ec56b6f709ca47e25a87243a60497b91</t>
  </si>
  <si>
    <t>ca0dfae3efcbd03b3651a8da84e2c71c2cb51f75150d5a9a26eb634d2ecaa676</t>
  </si>
  <si>
    <t>61e9a2416d6518fedc40fde58a33966c313170a1a1135f68683820e2bafe2d6e</t>
  </si>
  <si>
    <t>97afa25af7b48930d7e92442c95e220c7818d65f16ce9d218af5fbacf1c2d526</t>
  </si>
  <si>
    <t>7db72f535d766d6b3cb84b44cde360f071533ad066ba82e8688254c58f529ec1</t>
  </si>
  <si>
    <t>9956a1d3134667e6021cf27f594a8a5910b9906439375f6348e6791c8ef25fb5</t>
  </si>
  <si>
    <t>6e306f6686d2cdf767234dba7f3e0c18ac75e87eab90ce98652d2d5819b0d3a5</t>
  </si>
  <si>
    <t>2d12d0dfc074e2a723adef20492eed520a9a77fe35bde9e1ac0a685050e27a32</t>
  </si>
  <si>
    <t>de6e86f7c0b86a17e60e7b6528628ca0eb53e6ebc11cc7c238abd0b2f8392d38</t>
  </si>
  <si>
    <t>4e77538583e3603681b852b76f3de456c2faecc33741885ab48ecfdf58209db3</t>
  </si>
  <si>
    <t>64f44ca6e714059aeae35574fa798d427998e5da5e67d71d69752ea3ef5a9825</t>
  </si>
  <si>
    <t>94d42f4e128bf8431acbe1903f342eb9138230690333c4b98f0ca3762dd95dd6</t>
  </si>
  <si>
    <t>2c5ebb0c21a2d1455d5fe2424e73bd83d9b33019a85bb1628404fd3b57f2ce7f</t>
  </si>
  <si>
    <t>aac32d6786368a42a80bfdad22e685161dbe882aef45d4549f3088671be3a87e</t>
  </si>
  <si>
    <t>83611088667f8dd73be26239c17097ee76e8bc30af4ee85cb335a5f0096569c2</t>
  </si>
  <si>
    <t>c218ea6e04d7f5eb1de5dc86c35286bce8ba657ae702a948abff49f0b531bdfc</t>
  </si>
  <si>
    <t>7d41f0d5ec738c6e260655fdbbfdea66899b3408869538996260528710ceddc7</t>
  </si>
  <si>
    <t>378d0fdef42ceea6fd7de8dfc74de6f46e01fb0c6c07416ba104e47d6357d596</t>
  </si>
  <si>
    <t>60b89196617a4dfd44da8c29d8e2a32c4bf31dfafb276378c5c4fca827fdf984</t>
  </si>
  <si>
    <t>473398dda6ad0e6ca00122ff61a45cbb159573b2426279eafbecfb799369c410</t>
  </si>
  <si>
    <t>197bef297ea0c4dff5fac9bac0652dcaf82a1da5d7b8c53c42235a8905a6485b</t>
  </si>
  <si>
    <t>d5e32aee3b75f3ee9d2beeb97d4592591c473b71e4c9617f79316de82338e619</t>
  </si>
  <si>
    <t>41a090fc1fdee6689137e5508ce237eba422eb40923ad8e548ffdadf73f0ca95</t>
  </si>
  <si>
    <t>ecd9b0ff70768c5a1aa729d8d7aed15f2e353d8453604c23fb868349346b7410</t>
  </si>
  <si>
    <t>e6cbccd3b21eed31586141d531aa471a3d3ecf3efb49b614aafddde43c1ac598</t>
  </si>
  <si>
    <t>2cc2163f3f292712a314d9f2b8289efc583a40e973f2295125ce7c5305e67b17</t>
  </si>
  <si>
    <t>af90163dce2159bcecccf8b9257cbd296b6cff4156ddc0f4d14a9374116a34f2</t>
  </si>
  <si>
    <t>f468ac3afb78ec9231d3850a64668cd4af025468938ded54b319e4f88e425e7c</t>
  </si>
  <si>
    <t>6df33937e48df93885e52f4090aadb79b516ea3dc3bd1f9f6682eae65afabbc7</t>
  </si>
  <si>
    <t>2a72eb7ce14833c6acbe0e4d5a3d7c80aa6dd8d83e3d784ed5d1a004b4ab50a6</t>
  </si>
  <si>
    <t>d5ed2a3ffd1007a7924552e4a6f90bbe39b0fe64cf3b7d3dbd2697408b655b1e</t>
  </si>
  <si>
    <t>c1e32e1830353f688ef24ee47dbbfe51c5d0a49776a45c9382cf22325335d564</t>
  </si>
  <si>
    <t>39636d8dd36929c91cbc6429263301505fc038afcf08749556f0a1df14833ac0</t>
  </si>
  <si>
    <t>58273231de064160fb0f8bd0dd54f1cd896db64c0014002d7e4062f237154860</t>
  </si>
  <si>
    <t>6042574c23cc43cfd7462dca1ee817a1c729cc42866d06ba4d2c025e9a98048a</t>
  </si>
  <si>
    <t>c557a95105c86ab9330daac3e08547d538509be8d73764fc043e2bb0e51f5e17</t>
  </si>
  <si>
    <t>3439ce6554c7d596474158fba57c8bd243622bf98d4379eb0d2a7f4b6d09ca3b</t>
  </si>
  <si>
    <t>176462a42de6271a1973fc1f88be47161bfb81567210aa5913ae0f91931f66ca</t>
  </si>
  <si>
    <t>fdb142a7c0859b800ce381630a3345ca2af96a79e5222ebeddae79be05ed179d</t>
  </si>
  <si>
    <t>67b65f507460395f9390b7f55384d843598a9d7c4b5e15706996074c1c98b845</t>
  </si>
  <si>
    <t>35cc0b9658acc962e2337ddd2d3bfcd050f7b9e98c7aa8bb31a72015c1a2aca1</t>
  </si>
  <si>
    <t>caee12ce7a9638d21eb6d1515139b8209c538d3faef4d79c8cfd5ecdfc303434</t>
  </si>
  <si>
    <t>45114558a1a7cec682a2d70ddc2f7bc3eae2cc1b58f653d10b33f161bc7a689d</t>
  </si>
  <si>
    <t>1392bee44be9e014422382db303f7299368bb9eb390a3a1bc80466a1fe5dfac8</t>
  </si>
  <si>
    <t>6f833d3d752d292e0b04d3be3e2eec368a1e8c1bf6e8f9d58ea10f1a5a79e248</t>
  </si>
  <si>
    <t>fad63903905ed20068131581f3a7a8065a9eaba47e4f2d13f8f2f1f13f8a3406</t>
  </si>
  <si>
    <t>2ae78a7d5599f420e43479cb4f2e0ffbccf34945eb03f499b1d57c16fb1645e4</t>
  </si>
  <si>
    <t>bbbfb81375a547be4964c5d43378ea0e399f20321133991c9c974746291915db</t>
  </si>
  <si>
    <t>7de5b34657d36bae0dc8fa2ba80d026498a3e2081c4182edfdd2062b0d0d24d5</t>
  </si>
  <si>
    <t>cefaf8e39704357b4a54b3f26a684c31ac7d1d343f92ed8fd90065719c135855</t>
  </si>
  <si>
    <t>fc5b2d84120048c0a39018a6f8d4473d21c39479a1c425a5b528ad4bb6c7235f</t>
  </si>
  <si>
    <t>68414d02d4a877f7241285cf6de57e2155242afdb88c31583cc972b33cac71cf</t>
  </si>
  <si>
    <t>bf634aacb34f4dc21efd9d813760d929ad395eca4efabc65246ef3c72a58f651</t>
  </si>
  <si>
    <t>650447c283594f8f3185de7559395df4e508a79581a5c1a5bebb23df09c3d264</t>
  </si>
  <si>
    <t>fef6c833c0edee11cef88d155b879373f62b9328944e415248e78d99bf35aafd</t>
  </si>
  <si>
    <t>1893e58a2261b1ef9f6ff43973dd29673fc12677b651fbc3fe33fe1f9780a276</t>
  </si>
  <si>
    <t>70b0142f64b13785934d21b25486f1413740dca0505eaa89445df2cffecdce15</t>
  </si>
  <si>
    <t>6d8b0788fe46d281a9c80c480ccf69e67928e83c1f5a059ca841af2710a78555</t>
  </si>
  <si>
    <t>eaf09f63dd816ab857386a7fd5dbd191bd214e0da0c03cc3984d297448dbe1dd</t>
  </si>
  <si>
    <t>61daf24dadbebfb5e8be3b32ef8bbdebd3dfcca104eb29ca8eed5cf1bcdfdfdb</t>
  </si>
  <si>
    <t>0e2cec778fd68ab8a39c1109493b12c714769e62a5819b5c2ecd382aa46bf42c</t>
  </si>
  <si>
    <t>972671f91f4acfa62259f9a7d34d62d7dd679a94f968a32cdeb6b4eeb9a44b46</t>
  </si>
  <si>
    <t>f1b8722246b4c91b5afb147f9308f8753f3d0af342f4b0018b72b1d044214406</t>
  </si>
  <si>
    <t>211ee98cc80ce8a7377427419fb9905d34bec23835e37f7d617b4d3837cb81eb</t>
  </si>
  <si>
    <t>e9fd8d04b60e70e4d5714942fe82473a95725544176f742e8a7677134a631a74</t>
  </si>
  <si>
    <t>2ff9b0747eabee20dcdd3821643a346262d492200969646290a175baf2012526</t>
  </si>
  <si>
    <t>d1753c2d9962f15318f97760befd60786b5ac0ad3f51a27a535787e1841dc9ce</t>
  </si>
  <si>
    <t>bfc9d68df703b4b121c962b4e3746cba5de665d4644f2ef7f0452de197ddff6f</t>
  </si>
  <si>
    <t>3b6e67ff22e0e3aec9b6015caf0cdb2a25c7cc79a58c0cc50e6708d9597cd986</t>
  </si>
  <si>
    <t>a7f51a6c28252ae2403b9b189316e9ac2c210b05c2e5510145717a2424259758</t>
  </si>
  <si>
    <t>92295453bd19c653981c9b3719d1a5c13c06ad1f80c8c1e9321f8a3fde2c54da</t>
  </si>
  <si>
    <t>16eed1a2bb49b4832974662796970163925757b04476e848cf63beeb3de60b59</t>
  </si>
  <si>
    <t>39f137e9707d1b1a17776af43184f644881ba7385a01cce5679eeb0c2932fd3b</t>
  </si>
  <si>
    <t>90132812a9815bf846c52f0b9bd70b716c42243a1ad2150663314660086d3e92</t>
  </si>
  <si>
    <t>b59df16e9d225155697d54c2b4331457001dfbebcdcf95007258564155fd062c</t>
  </si>
  <si>
    <t>890dc038dc3b62b0d0c27e77646aa400eb39cb504394a69738a1f14d81b648bf</t>
  </si>
  <si>
    <t>6890226fd649f1d2a628d19c707723d8439abe9dba4036d59f5839f36d671cd9</t>
  </si>
  <si>
    <t>8c6058d90d62a0d86d945d66581e2400ead00a9e558e25ea917be68b84512a4d</t>
  </si>
  <si>
    <t>90a6d8361d2cc6a11c2b866dfcfeb13d1c1c85a8752ec6fd640976481928a00d</t>
  </si>
  <si>
    <t>4f9ffff896adbf6b27196b93131f9504ce8f700d7b29250d92c6aae7432bad39</t>
  </si>
  <si>
    <t>e18b065b7c82e653b0414790138f27de5ec78cce8c74e6eb5953102495ebfa90</t>
  </si>
  <si>
    <t>987033198502f37204e07859897eccfb02fda42471eb5e80fd70bf333bc85785</t>
  </si>
  <si>
    <t>c9a5d8ec1b1cace630bf3b04d6a75c681fbfdcc4a6551cecb6ee2f818746509a</t>
  </si>
  <si>
    <t>e864a286503a5a96ab7b16dccc7dc492ba4088ef56c1682ac2699174defa3fde</t>
  </si>
  <si>
    <t>416ef1890b298e690d8b66fbce05187f9daf006d6dc82cf7575bcd4825d6f7eb</t>
  </si>
  <si>
    <t>adbb0155a52d82cf3545753258536cfbe51b979c0c906be452f5473cf6795c91</t>
  </si>
  <si>
    <t>cf6e79ba465c18b0fe6a7669b66133cf28e6ba977667b8b0dc5af322a96ab4a9</t>
  </si>
  <si>
    <t>7f48a47c857d655ec8494cfd678c760771cb95be19ad3af69eb7be26b6a2bade</t>
  </si>
  <si>
    <t>90c7f594ceff6a6e7cc06d64b5bef65309e1f6281609ed028334a99d94b0d532</t>
  </si>
  <si>
    <t>35fee7ac833904795553a0ff6f32dd38820790ff139952db14ea0af8ca9c5db0</t>
  </si>
  <si>
    <t>51ef7cbeb407a3c21c863d9685063f0b0c30a774aa3f36103cbd528b1231e725</t>
  </si>
  <si>
    <t>ca506d5acaa2c3211534322ac74dec76f73f0f9779405f3ad996a87a4c909875</t>
  </si>
  <si>
    <t>26b079893b99215592bd48c60775d878db103f9cbec23543af96d0cb5b89a837</t>
  </si>
  <si>
    <t>596b39d210f68436943a6b660d01471b97f3e3159fb9e842b55d68adcb1198b8</t>
  </si>
  <si>
    <t>6ae69db55678ed2a91c6a7105669beb38e5cf5df22ab5bf43b0c8836eb7c8162</t>
  </si>
  <si>
    <t>efb3a6c4b0b454fe77c5a00a138ec90fe01ae21b5ff67c8ad6c1c472efe72c8c</t>
  </si>
  <si>
    <t>355cffd3345a79cc20a9338be7e2c94ebe4031a07834cb5ffe4729487656edc1</t>
  </si>
  <si>
    <t>f861c20888df3c8c8273e3f05f03222d98fc50a5c91bc7dfd1b648294f59deee</t>
  </si>
  <si>
    <t>20c582f030f913f79fe178fea8e039c9db16689790395fd0311dec12e2e0b268</t>
  </si>
  <si>
    <t>95472ca0d81af0095e255a5a71d7dd6cce5353718bc71d522b3356e94c34583f</t>
  </si>
  <si>
    <t>943aa47ae9faa66e1fe177e0a9e2f91ce2ef58d9bd170f158f9c34185d7f5bb2</t>
  </si>
  <si>
    <t>4199f4b80f6a6928cfce7cd802c41cd8bef6c712d9ec45dcd238e6a8f93bc353</t>
  </si>
  <si>
    <t>25f178865b9a5d05db826c7024b96d6d374b861ae030274ca19a54f078c7ab81</t>
  </si>
  <si>
    <t>27636472d701d0b940e22657e456195f81e75cf719d0c74a980911db40903c3a</t>
  </si>
  <si>
    <t>d74cabbda1b951141ebb54cdf8fe5e77d2c0fc29b56dcbabc46b61b4834b077d</t>
  </si>
  <si>
    <t>61fc8963169f96e6d7733af2709769f4ea3629eee4b0f7741f19861aeaa54362</t>
  </si>
  <si>
    <t>448afb3d43d3c97f6dcf84fa5d86011b85d803aa73ccf275eb7d74a97c2be5d2</t>
  </si>
  <si>
    <t>12f9cbcb0be655f55603a6d6ff77673f781842646aab7b725832a7d63988b107</t>
  </si>
  <si>
    <t>54ddc19377e4eea5726a48ac6b9e6ad64f5d23acd63bde74ba5385c77962c37d</t>
  </si>
  <si>
    <t>e522ddf50613ea1af8690c0d081ce30e62a7aa6f9e61fe05783dad00bca10346</t>
  </si>
  <si>
    <t>ef573e8228e2b674b1ed0c03a26e65b349742c47f960f5f79ae94d221571949d</t>
  </si>
  <si>
    <t>8f486481cf530539566422ea73845e77db51b0175252f084d763c3afe7861e56</t>
  </si>
  <si>
    <t>d46c03ec339f72cb7dc412d42c521e277c061c831f6dfc25973c3c3c0595a477</t>
  </si>
  <si>
    <t>4cd9b4aef1983488ac8baf8d0f14f7d46797e2382fe2006900461005f4b85e72</t>
  </si>
  <si>
    <t>31aa89219f02859e22e1ff7945fbc4f80dd76d0037a17e95511373199f65c196</t>
  </si>
  <si>
    <t>69275b4bfedc0e061f82fbacc0bf38256b20cd4de9b0ca42b3588f0865c85e7d</t>
  </si>
  <si>
    <t>e721ad1c7533f583f55d677f5587bc54e18db22c4a546d25316cf93de8c47989</t>
  </si>
  <si>
    <t>c18bc86ff9ab53ea3cb20428a6e3e643dbd793a825b7e500fcdb121625a8cce3</t>
  </si>
  <si>
    <t>6d832a58317fef77b86d4041460146277b68eebe55c936a2d8bfcdeced9ba4f5</t>
  </si>
  <si>
    <t>dd891284b7b97aabf4c4ae987f25095fc5067b7921587663876358e1769ec96f</t>
  </si>
  <si>
    <t>faa902030b90416605152762a0ca772e31c862d9a978b272f8704465a99c3dda</t>
  </si>
  <si>
    <t>08efdc4fb2f2593ed41341cc40b53b3d294d4881cd25b1ff6a1aecb00dfb535f</t>
  </si>
  <si>
    <t>7ac98710be0e4a274dba217bef1b007e0e903eb04c5d4e45bdd31fc22952c797</t>
  </si>
  <si>
    <t>b89f71b38fce9e578d6f0f221b9b4a21288319eb8764fe2567b43e0a44a099d5</t>
  </si>
  <si>
    <t>69649d7f7eee6c27794deaccecffb77a7b3f590b5052f040fa4a15a7390d5387</t>
  </si>
  <si>
    <t>c4bf57dd01cf683b8c4f208c1a4ff368cc099d60fa51baab0ad6a66586bd1eba</t>
  </si>
  <si>
    <t>fad7aadf983d12dffc17e60406865f83e50339f358e7c3758b5aacf25fcc7bc9</t>
  </si>
  <si>
    <t>b77c64075e803c1a86e1b7df7f75048ba1bfb7922963b6493e2e9a843aa182e7</t>
  </si>
  <si>
    <t>e2b236e11c62e388604faff9b14c40e7f983fdb44a0d0eb2a6ca6e3b7446062c</t>
  </si>
  <si>
    <t>86fa863773c934f67043a5cc96b13866c4573f5b19e21bb98c3e3d6e03056a70</t>
  </si>
  <si>
    <t>e003620e502a0679169c7341f8f6237b1a9fb14a3f28e07c7767626f085875d2</t>
  </si>
  <si>
    <t>e21d6c7ef4ab355c10356661a7b1df6f6711e32f4bc564ea6495648ca8a2070e</t>
  </si>
  <si>
    <t>0f4c5d6e0f1dd8a4a36d0b3e5107e8b09b33b492ebdce8845fec7c8d0b1d11cd</t>
  </si>
  <si>
    <t>50e9a6bc8437209e72634016c60dfd6fddacf8b2d406113eac83bcc6dedb3125</t>
  </si>
  <si>
    <t>ff964e5201e6d219ab943065d049c2eccc1705da118b6e2a6a5d285bf3e000c1</t>
  </si>
  <si>
    <t>8d12c9182f7ff8408359aeae15b21fb9feab2075a4b9f32552dff5ecb796ad4c</t>
  </si>
  <si>
    <t>013a5c51b931ceb5efba734784f1e7e7f7106e1c3c829762c7298c53eea5c76c</t>
  </si>
  <si>
    <t>a10152aba207369e692022b565a4f8e2435972b2eff8a2d26a06fd2ec83ec6c9</t>
  </si>
  <si>
    <t>27ec14ac155dd2df346fd6b760cf1d2ac013d5a0329afab375789199ad249a01</t>
  </si>
  <si>
    <t>a369244133b3c6e1b970c3f6a8aadc8a7a6c5372e296597a8d9e8f7687df716a</t>
  </si>
  <si>
    <t>a8cb5d7d3f9320e1b96d3c751aa7a5a8464ab2504120fcb410b50802f012f3d1</t>
  </si>
  <si>
    <t>1ba675882b7f8b0854f83cd0116dd4c1e996d91ca4bfa154120adcf686cc9f4e</t>
  </si>
  <si>
    <t>fffb8bfa6eb02c82c75d66e1b807a399b0027c836fb40335651cf0c73d68d43f</t>
  </si>
  <si>
    <t>12e62e8e86864d4858e0d35c304ef25530505ec1ad58ae4a1d97b66352b09814</t>
  </si>
  <si>
    <t>25a7e8b115676036c0a7aed283f8d9aadda58bfaa695bd546c73bd80d750308c</t>
  </si>
  <si>
    <t>3486c5c730635cd7cfd6934def8e0c369770ddee33b94da88124fa0b994ac927</t>
  </si>
  <si>
    <t>f1424c572e5d396e5760f889d78fb72b57d399e9f0b88afbf77480f835086561</t>
  </si>
  <si>
    <t>bf0ae72dffd962beac99556cb8c27a7065bf0e79848558ab5d2d9cc45584eae8</t>
  </si>
  <si>
    <t>fbcdb9469eb50f8fb16663d169d84eba431908d3f6ce169d0d50c0e4d04055ad</t>
  </si>
  <si>
    <t>bb22e763c3dc18e2526f34521a76f0f622792d48d4968156124ca5d5e6f9c1c3</t>
  </si>
  <si>
    <t>18cc5efb46243ccbd82adffc0d69e9a2aa2ce7ec338835604a65955cf30daef1</t>
  </si>
  <si>
    <t>fccf22ff1fd748b110d237cc5e3996085f86859ea697cccf82024b7805297de4</t>
  </si>
  <si>
    <t>2c3b55efa912c9e54e9ba6cdb0f6d5ec2800c4670c636d3d26be16aedba06934</t>
  </si>
  <si>
    <t>e23c3b9348e4b0befced7ab887e3046e841526ec0b900db3708deab93657f066</t>
  </si>
  <si>
    <t>d32b8bcbc934e9c50377b9ac3e1e6a197853c520d48018332206ac9a5e95feab</t>
  </si>
  <si>
    <t>c84d79b130183a6ed32bb5e37f083ade705739968cc475be6ed3cc0d5d51e8a1</t>
  </si>
  <si>
    <t>eb8852a6e094be4bce4f963f520c8de20bc4f89043e8abe4456340a6571c7c0e</t>
  </si>
  <si>
    <t>290492a07a320c8795083af444fdff387a24f1255c785ed72d2026ec37487f70</t>
  </si>
  <si>
    <t>59d07140bbf715f3d6b0cbc8b2f52298318ef0fbf59d69ddb522d61f295b1f16</t>
  </si>
  <si>
    <t>ad966cecdf5a5418ecd76dada9d5637a52ce6489e563e8ac64451c7567b33b2b</t>
  </si>
  <si>
    <t>cf8e0777290b572654571ffdf2d262b5cecf458631ae6f038f5ec7f6add4dcf2</t>
  </si>
  <si>
    <t>0400968f69b2d955d907425e55dbdeb99f38a5173820cd47fc4daddb1a6f035a</t>
  </si>
  <si>
    <t>cdf961b4180c2e9fb36bbc6d7f926d4215e41640790ee401515c344f71dd90c3</t>
  </si>
  <si>
    <t>c9f1bbb658600d5e00b61b2542f91fe726d584a022648f308d1d226659aa9ec9</t>
  </si>
  <si>
    <t>20f6a7dba85468cdba564a0287ff5106787624b1f74a3fc49a7fa3a34fd32829</t>
  </si>
  <si>
    <t>6447f7df25defed1158c2c9c241690d54094a8606f7a8ff72ada6d352a7c3b48</t>
  </si>
  <si>
    <t>47b429c2db35e663b3f8be219148a46253baa7c61e3edad18f20d085650f1213</t>
  </si>
  <si>
    <t>aedf689fd457e9895f1c4f6eb2f28bb2319a858e0acfa0285e4f98d6da19a20a</t>
  </si>
  <si>
    <t>f12f7a91fe0f2f91b7f699d6afc620afe8e2d031f9a88f6c70a606c56fc95291</t>
  </si>
  <si>
    <t>9e438fd234ee7a6ff2f5fbc7310432c5463a6f6ae4ae56ba6ce649e595885d2f</t>
  </si>
  <si>
    <t>a2c5af806ba08e408cd2632c4151a79f849cb4cea560c99b0e84874ea497ee33</t>
  </si>
  <si>
    <t>d943335fc87b76498619acb2e9df90c74e382e6db8c84626541b49c9823ffa8f</t>
  </si>
  <si>
    <t>2c51cd7c201f0f0816f7d40a1199ee39afbd4eefc94c658d09cde5839c93a1f2</t>
  </si>
  <si>
    <t>eedf00872d43dcc88cbf243eeaae85731dd943688472bd613b123f60a199e54c</t>
  </si>
  <si>
    <t>214ad17ae507a5362bf3781b58ebd267deaf598b93b57dc4e8989b670688eaf3</t>
  </si>
  <si>
    <t>fb39fac5466dd4b6087d9ea411e5233123ff9660c2fb286e27f18f9851fd55e0</t>
  </si>
  <si>
    <t>7cab2715a8fd9be3732270a85dd4bc64c098c359640759e8c87875baa26077f8</t>
  </si>
  <si>
    <t>77d4ee1f72f3d474548f133c679d4ada2ef3ba7547b4f2e4c1a1baffecd3b813</t>
  </si>
  <si>
    <t>29a5b23233504ffe62bc679c4720c12e8fe4c040ab6ad29919864f397b123588</t>
  </si>
  <si>
    <t>119e0f4397d96bb68ec11ddef24dca776704cc877ff18b2f70a58e3ca306352f</t>
  </si>
  <si>
    <t>d92268cd13ae3f7624cf71137cafc7d947deeaf6a5f4bd98c26121385ecf08e9</t>
  </si>
  <si>
    <t>698f85ca1af36843151b188b211469071c6de7d76c517b94f12ef6cb99b24f98</t>
  </si>
  <si>
    <t>3d9a8fb2096a73a2b8796e19a28b9a74c8f5c42f9869af85fd6967be564540fd</t>
  </si>
  <si>
    <t>ff429be27855c32a0dfa2f57feeebdcd5656026a84a6ceabdd1c5115290051a6</t>
  </si>
  <si>
    <t>43a9c1de06f43e8a4017cfdf4d41654dbe31351c0cd2690ac1d291dbebcf254e</t>
  </si>
  <si>
    <t>c1fe61a2036ecc420095c61d967b51466793290dae9450c382f4b59cf897febb</t>
  </si>
  <si>
    <t>7901bfa3e78707e543c89433f942f3a13bfffba21e3284c5f6b7e2add62a549b</t>
  </si>
  <si>
    <t>d04b2bed301c2688d04df250b35ae6b2808a91af2213b6ceb3d5ea75e40d17df</t>
  </si>
  <si>
    <t>48150b87ee3ad5dbb4ad154d74831caccac5be59b0105f0143f3a6cda8b7d3c9</t>
  </si>
  <si>
    <t>bbfb2a83ee5a45a2cd4e0ade026e6241ac9d11b254d92d8c0fbb31688d7ff7c8</t>
  </si>
  <si>
    <t>90a8687657b62437a8bf6ea2a246dd13a65bab5af1678df5d9fa9df3f0c7b6c4</t>
  </si>
  <si>
    <t>43e7abde03fa429071023447e311e58d4591a65794d0caf25e15f80e693c946d</t>
  </si>
  <si>
    <t>7c5212de2bc53f78fef924f30d5b81cd0d713f119a29cae45d9d5213eafef175</t>
  </si>
  <si>
    <t>03e3450a54a7ef99251d3f9f46afbcad89378c19a48698fe28c910f3a2c1bd1c</t>
  </si>
  <si>
    <t>022b64978209afc77894db4018a7e72dda785fdf8852f496a1abc6ef7ed12454</t>
  </si>
  <si>
    <t>8886f0dca3e42cc344f4cd77ae428bb283e3f219b417da12eb6219b73db4f5e7</t>
  </si>
  <si>
    <t>25e78282f701ed10c048fd56f0691df6c3f9562b72ac0130a55a9bf6bbd73e01</t>
  </si>
  <si>
    <t>9c69352ffbfd4b6bbb3f204018b64ddd6aeb9a517ee351567b74eb5cd6f16a8c</t>
  </si>
  <si>
    <t>1fc1dd63f86a46a99500617330bc07f7efc0c0824a7c146b7cef83589a4227b5</t>
  </si>
  <si>
    <t>6257892ba52705e8bc588df19c36b647a95e8a459cecbfb07a07ee7376762f67</t>
  </si>
  <si>
    <t>4067744ff27682f66b8d6f49eea01ca97c660b5bfb31c1c9443b75a398a9bd8c</t>
  </si>
  <si>
    <t>b515a345f1a8b3ead465e260e4487dc84e6fc3f3a33c5088c4d158445f8e98bd</t>
  </si>
  <si>
    <t>1f242aa03079dfe7edbd2bcee5160472c73d61593b1cae5fa6713e55f0df14e4</t>
  </si>
  <si>
    <t>eba364446531fd4759c4498daa7f7d22fc3e937dd8cdcce0654ef71dea0a5caa</t>
  </si>
  <si>
    <t>951ccdcac437c25bbcac67e2cb3cd3187119078ee1a71b076306843921d96d84</t>
  </si>
  <si>
    <t>812c47cbad991b9ac31fa4f1db994f1f0b365ebab55323112120025b0194717e</t>
  </si>
  <si>
    <t>55ee08128a0b9207ff5594d4fdb537d4cf2b79ea6a02ee932d03401ed35f19cf</t>
  </si>
  <si>
    <t>2ab201f2eff0fb1d179ef2a3394c6f7d2032788e597a98054eb794120a274479</t>
  </si>
  <si>
    <t>3f68dd672b8f460503ae36aca0ae57d8fb34530adacbd1dfe03a4aa8edd6829c</t>
  </si>
  <si>
    <t>0f368a0c6d9f0a01da27d729cf311c93268548896dfbd277a2b43d054e7327b0</t>
  </si>
  <si>
    <t>f9c16016eea9817f01c22d9e5321b7c422e8f173e05ddeadeb7d08ae80e8d7c8</t>
  </si>
  <si>
    <t>bc72facaf24573d8b4166451f114face401ac8b790755c8e1eba68a4d8aa521b</t>
  </si>
  <si>
    <t>d15178efa52fd6fb9400879486b3d997564cc7910049ffbfffa2d7b295e4cb6c</t>
  </si>
  <si>
    <t>fe6476d10f7a6e9a1c313f38e22c208b2f111eb02fb79d7f9c80d2665f22a800</t>
  </si>
  <si>
    <t>bf03afd3a3f440a70b2d1da9349151fa6677bfb323e563da486fa47c88fa0d4b</t>
  </si>
  <si>
    <t>f4c83b30eea2daba690b74552b2cf1a2b857a437990416c964b9d1d32381e62e</t>
  </si>
  <si>
    <t>9cf3270fed0266c79027fb79d8e7530f3e1e8ce4fa93175f62db308bae46e3eb</t>
  </si>
  <si>
    <t>3055d22791a82ab0b5d4790ea0b1f37bfec72a53a5f28d79171846b1f5eab89d</t>
  </si>
  <si>
    <t>b2ca086528ed35e1b6641ef7228200620f408cf1402f8b34e68118b9a8630c85</t>
  </si>
  <si>
    <t>36421ab33347367d1b77d21456ec2c9e919df6fd830006f1deaac173d9143cdd</t>
  </si>
  <si>
    <t>168693c31901176769f0fc7b2b1908ed30d8eb1d1208815b036f7f766625ae5e</t>
  </si>
  <si>
    <t>7cd8543671325163d6be48d874118a11a1f1f134c90e9f7272b72552c05cbac6</t>
  </si>
  <si>
    <t>4fc1ed077d5d445b990f4085feb393b65c0dd4121c0f430efb072c032c0400e4</t>
  </si>
  <si>
    <t>7ac35f9277f1d749f1566c1744160b9d54d93e0e5024453d5927fd233aa95b94</t>
  </si>
  <si>
    <t>38edd65d31483e15ed982aec415d704796ea4bdc67f29fb96e913729376eb50a</t>
  </si>
  <si>
    <t>715bb6f62910d95a29713bd2fa811b4bacf5423eaf9da6b6b6c1d153bb83b400</t>
  </si>
  <si>
    <t>bd2308ba3f865e31fdc7ab211d5496da863c2ee8c4c3d989f96ca3e5200510f4</t>
  </si>
  <si>
    <t>854f1a807060cdff34c83b74e3c995428a76dfc79aed8e804772a74776f8504d</t>
  </si>
  <si>
    <t>e2c4fe3d5f6391c80686bf83c89155884bf914ee88891fe1e22e9dce0bf77c89</t>
  </si>
  <si>
    <t>bfade8fd8614f4d301bb93d54f86fd6338d75db18ad0caa8f9c651b0a9f3948c</t>
  </si>
  <si>
    <t>b207062a0297abc7d92c9f958a572bf02c65fa6a8144eb2d4c5af163f99fc5e4</t>
  </si>
  <si>
    <t>1f6eb6afa0c6538b731ef4fa2923c5ef9aca7e7b7317f9d95ae6c2942999cecd</t>
  </si>
  <si>
    <t>eee353c988dfd57e809ecf5cf2e9d60f192d7c7fde650e8af4e120ed22df50c8</t>
  </si>
  <si>
    <t>0d328e4781520a528ed810db67d83e5dd33263802956653024b81307b13e9961</t>
  </si>
  <si>
    <t>2da785460e3cf39d4ac0fa0c19a4ffc767c857ff172ec65b3fe9aeec0fcfaab9</t>
  </si>
  <si>
    <t>244fdf1f077ed29ca8b4cbfd1db8ab3833a016ace08f303c7b377a9a4ca9fa06</t>
  </si>
  <si>
    <t>b6915ba768b57bc9ba20249de15bf20556a948d10ec74be9fc55ba3a3bebf557</t>
  </si>
  <si>
    <t>2b6f2bcb500031d327a0ed4a34f110832bc5224b37218f080b4ba985100c5af6</t>
  </si>
  <si>
    <t>012300e7241d31f747e62a216fed77c91cf69dfd51ed13071cc1230371edbaa4</t>
  </si>
  <si>
    <t>26b56c381a0b450301e8bbb93e6550f805719c7cdf6b8bb162d02a049363bc00</t>
  </si>
  <si>
    <t>b43a5567a4e14c3d5523b98b27791c9c420d6efe06600c00a51d8f5f2ce7845a</t>
  </si>
  <si>
    <t>79cce0d2a85792cbc0ddc45ccd4e35888bdd0c9729c02c400109028b5e728f2b</t>
  </si>
  <si>
    <t>046097ad8d3cfca06328711b8cc44c2c4bdd739f01c4a311b7bb28a4e23f05c1</t>
  </si>
  <si>
    <t>4b4635bcd9b4083898eacfaec308d954e3a864a57936e2a3b008dc30402e88df</t>
  </si>
  <si>
    <t>3234efaabda357008244e349dee0ed1d7d50df60def6d0476ca31de005e01ec3</t>
  </si>
  <si>
    <t>2ad808896805c3c8f7eb02e859c74f8833e2c4cd2fb519ff03edd84a7ab44010</t>
  </si>
  <si>
    <t>6e283668ac0016d75fab97cc21aced85519a8be2a66855747f7f88512f85759c</t>
  </si>
  <si>
    <t>1233bf8808457f85596068dab359a7a9ce7849e7bf9680c5f44f0830b22ce7ad</t>
  </si>
  <si>
    <t>2fd4c50827b936ccad10a0fc5de25787163565fe8fff00667cd9c03de34b54b2</t>
  </si>
  <si>
    <t>c9093faf058836e19730fe26c314074aec287b9a00e0346d3296028949d940c4</t>
  </si>
  <si>
    <t>f77f7364b8a381c59d034bf8f4bfa1688ebc7d85ccbd7bfc8c829972fc7b2e39</t>
  </si>
  <si>
    <t>82d5d084b7f2436575fabf4a2754a213fc5e8ed18f60882acd10ac7729cd02aa</t>
  </si>
  <si>
    <t>965356e8ac08f0115ac542bee3c4488e064c59f77ecae467d28e10ba744dfc12</t>
  </si>
  <si>
    <t>cdf8a4414da385bb6257fb2848d662905aeb9e579370810a8dfaba4bb348f736</t>
  </si>
  <si>
    <t>b5a6bd92adafd5c60c2a2382137b4d0135f6f2c3479dd9044d3f8918bf53ca7f</t>
  </si>
  <si>
    <t>a721afc3ef467709a2d357eb9ccc858f25453c581d0ee00c5028a2b68753df0b</t>
  </si>
  <si>
    <t>508c940fb099d5ce940de8d1f559b1a03e18ad261bb6a12bc5a51e6bdf7bf65e</t>
  </si>
  <si>
    <t>7cf6fb39c07f80b4157ea718e012c9817fb1209b7b5ffb1da6627ed6eb0d5673</t>
  </si>
  <si>
    <t>f86888f3681a67e403fd20f645731a5f1e77496f176490db1337fb262c380652</t>
  </si>
  <si>
    <t>4d05a481a85f40d4dc348082bf5f41a3218dabd985827d1752807e0ea4c04776</t>
  </si>
  <si>
    <t>7a68840c7ba475905775d27c2777dd4c2a451acc37273d8cd325abaf4f3fed60</t>
  </si>
  <si>
    <t>a15540309bbc064f0e7a7c08c57c0750682b2b63c18b8a498933ad9886601fa8</t>
  </si>
  <si>
    <t>c2ca029d69e0a4e97b2dcb2e617440571490053b3296f518177f507fd6e7985d</t>
  </si>
  <si>
    <t>e42c75a43971365cb63e4e7ee85bfeb82f4250e6c0faeb7aeadc825481ffb15a</t>
  </si>
  <si>
    <t>92baa659b36638f6b1bfa8a059a3535b4721b06d80f8820757ad3c5c310b6639</t>
  </si>
  <si>
    <t>c708b4bd2d0ad79479080140a0036598c74de4d2d497834cd18144122feecbd9</t>
  </si>
  <si>
    <t>2676f45c06349f01faee9a01f427b3ae983ec37b549a3e471921856f8b1890cb</t>
  </si>
  <si>
    <t>28df1acfa8163345de032f21d7cf65a8a58c964d0f926617a1de7fb2a90a4b49</t>
  </si>
  <si>
    <t>050ad4f5367c0be60c140587ddaf8246825ed0018f1f3595d965bb7f1624e986</t>
  </si>
  <si>
    <t>3312131a4bcb46442e8e45e909ab9bc35d0c625e1c4b9f438eda77b9c4d35892</t>
  </si>
  <si>
    <t>7b49d9e382cec555427de523508c9a3ad4a5d4fbfa8cc521e1dfedddbf4025f5</t>
  </si>
  <si>
    <t>73e6f5ba7c6ff2a8b1f6b560b9e9612204cb1e83fe8806db112e6d720ac59618</t>
  </si>
  <si>
    <t>722ace00e5a686e5eb4b7b6ed26fb888d6b7edc348c9f2c9811cc220626756d8</t>
  </si>
  <si>
    <t>66804f8da8d5ab4fdcf56a049978968b404c49b0392e053e448ea99130306a8e</t>
  </si>
  <si>
    <t>00d5eecd7550ed19bc1c9e09dc5b4ef1984aff0870770466b2c67ffa4dc0c79e</t>
  </si>
  <si>
    <t>e633634f16a965bac4b49b355471cd1208139391f8956a55ffeadd638ab27ae4</t>
  </si>
  <si>
    <t>5f45998b634683a17720f0bae4b8f8d485f6a013b75faa607d35296ff956e15f</t>
  </si>
  <si>
    <t>fcbd3fc7d7b5c3b7bb481b1b90222f0e8f31f91bd073aaad33c56a7b9db0d4a5</t>
  </si>
  <si>
    <t>3a536e40037b49788d18bb1131867ff68a5426953de85aaa23963a1ee0f3aa87</t>
  </si>
  <si>
    <t>d0257be8187eb2fb79b19c9a176008d43ac7f5951a4e194c56f64d7982af5a54</t>
  </si>
  <si>
    <t>816807dfd371e39dbe959fc76317ac84b9505c2efdeb0d76052c5b6057e20c48</t>
  </si>
  <si>
    <t>30e76e42e2b1abef0fb2d0e044c49a48a86cdb53507b008f95aa0fd3d7075c30</t>
  </si>
  <si>
    <t>3f263fa885f4fdd5f9c3d7a44fbde924fece52c61790cedfc5bc5f79036bdafc</t>
  </si>
  <si>
    <t>eccf1bf3ea24e731234f23585bec02b6660d56f014cd57fa5c4118a2779449d1</t>
  </si>
  <si>
    <t>f13afd3b93a7394085a953b7a6883e96df782b606fdebbffeea898647def8ff6</t>
  </si>
  <si>
    <t>a4cab23823f9c6472b9c8dce4fb6615dab9f93848d420aeccb79a8cb0f56f719</t>
  </si>
  <si>
    <t>43813f8661908b5a8199b9f891576bb823e1609165fb92883e3749e1f33dc4a0</t>
  </si>
  <si>
    <t>d7cd3cf617dc1a9571c925315894448d86da58250a6c416bdcfaf2ff2892f3e4</t>
  </si>
  <si>
    <t>e0edf7120564baa0051d8a49b3fe22f99bee462dee4a2fb7fa7e8614eb8f706a</t>
  </si>
  <si>
    <t>fa03abb48aac14afbdd4c5ac0d6085f49b6fac78727d355d082889b5d6612b1b</t>
  </si>
  <si>
    <t>f48ba79338e54dd2377b39a0785d849ecebdf6a698e7d97c15ae10d7203ad947</t>
  </si>
  <si>
    <t>58e8885b125660d16f6ce07f2930f8aa1cb7e20f0b18d85e74e8e8a1a2ce8243</t>
  </si>
  <si>
    <t>eebc4dbdddd2eafa1fed7f754ffe5a46707979907f85fd7b2933e4e300962b39</t>
  </si>
  <si>
    <t>9030b7564f1d57986250777b767856f0bd4150aa7431d459a710ffc10b281b5f</t>
  </si>
  <si>
    <t>8fce94664b9ed11822c2fc6f754fd07f4c76eea0a3bb9fa20612aea67cead6ee</t>
  </si>
  <si>
    <t>2601902a0c269420efd5cf2473b3b1ecce3baf7cc65c2bcf3ab753014edf0f40</t>
  </si>
  <si>
    <t>cd8595b9c82b735fb505c88defc695f128502f292abe359260f173fb0efc08c5</t>
  </si>
  <si>
    <t>b3fbb75d61468e56ac64cbc09f98ca54641ac1776aacb6ad4a3ef385c149fe96</t>
  </si>
  <si>
    <t>25801c528b45fc5f448f9d6c00ce0095edbb2814518db05243daa63a03b34ecb</t>
  </si>
  <si>
    <t>2d4dcbeba0c0b2073303d55b6adeef55b08df065a297af41c2aa93c5a98799fc</t>
  </si>
  <si>
    <t>383ce41c92d0e5025cb27701c939e20995a563f0c961817db6cec5b2d55cd74d</t>
  </si>
  <si>
    <t>e1c41211d336e554d29ce04849b044aabc1b149069a96569ed46b9e91aa44eb6</t>
  </si>
  <si>
    <t>a3e0d1e047d79ae73ea165f2f0f4f4d60c8e8109aac7a8d61d9eb2326c3c8b95</t>
  </si>
  <si>
    <t>9de58991e92beec9fe97f588dd8a5c826f2ebbaa667b1ac8869b0714db5852dc</t>
  </si>
  <si>
    <t>3fed409b93c38b512f712cd3c161862dbb3ebfc6328b7881daf502a208bf31c7</t>
  </si>
  <si>
    <t>9eff20fbebbed09bc7bdd47fd18c97175eaabdf50af6d1a4e2ba395c6829fdb9</t>
  </si>
  <si>
    <t>12a56af965945d6f91573c22969df869d472b36add284c7c18b54ddaa63b5bac</t>
  </si>
  <si>
    <t>bd5706551e1565a976dee104c2b0bb76e23760711aff723d6be9afdf71603edd</t>
  </si>
  <si>
    <t>ad347d1cb4b9eb006503e9a49daf2c8db25abcdb57d49abf33c523e6bdc20097</t>
  </si>
  <si>
    <t>29360d452b0928d6127adf6703663ce5a483df52a0ee531f99d980559076fc2c</t>
  </si>
  <si>
    <t>49aa69b16ccf408dac1e51a6d4d7101cb30d4bb2a8e7e76cb448914c657c1742</t>
  </si>
  <si>
    <t>e8f69f0f1272b86b1e006de79d226507bae5081bfc985c6b7e9703656d319425</t>
  </si>
  <si>
    <t>756aa0b8924d1c1dae8e342b66eac75b8b403ec58df76dbea933ba8e60d60fdb</t>
  </si>
  <si>
    <t>5b121a57ca1e8c91afee19f23537da2b080a2218507aac3411883360eeabac04</t>
  </si>
  <si>
    <t>833a71b778bde9da24519d76d2d3ce62a8068271e3d8e46989faf8dce8ca7504</t>
  </si>
  <si>
    <t>157ab569f5df057b7b7d0c1d256b5314087867b16cdc626946241114bab28dcb</t>
  </si>
  <si>
    <t>0bb7df7cc1af93249f3a752ac72e2df13216f338b49f6e13b95fd8daba5b5df6</t>
  </si>
  <si>
    <t>76a89bb57038df648855642ca4ff76f3934c61e96af18c434f01a2b29e1a8530</t>
  </si>
  <si>
    <t>4e6fd7ad83971bde0811f562eb727181ee0cdd59c7306de67fa056808d8e5df9</t>
  </si>
  <si>
    <t>1c2073610344184548b50673ef30867a3cc46c808c88ced967232119b7d065cd</t>
  </si>
  <si>
    <t>b5ee779c26196e86b39c2ab4dd7c96ee11cc14c9c04e0d869093e6b1a4cbd1f1</t>
  </si>
  <si>
    <t>11dd39aab5d08c2e14eadad35789076ee756f7626a96aea676ca9316bd1646eb</t>
  </si>
  <si>
    <t>96739c629819c079688b8dc9f4fa4f58fe815b539a821ff40a29c7998b3fc1da</t>
  </si>
  <si>
    <t>0d467e8c698d83054980769e964c4bcbeaaae6e005c5e38ac296e80fe3a55cd4</t>
  </si>
  <si>
    <t>aed06c0293c859471120db5d5e0ac9631d785723022b88dccb93a8968cab88ba</t>
  </si>
  <si>
    <t>7251f4fde37cb126a4794c36b6428e521a930b3561ff9fa23f89988db9e6f950</t>
  </si>
  <si>
    <t>b0db6db7006b41276159e095842499a4e783b340ba2cf40c7f679e09205c51db</t>
  </si>
  <si>
    <t>3b6a20276d7ad0fa3ad4afa12be8c04823b44d1adbcc4e61cc8b846eef28ca40</t>
  </si>
  <si>
    <t>b1fc7d04010e411e08a18f7a1dc77aa6ca93d953d2e9c13d0d2aec4f0e3debe9</t>
  </si>
  <si>
    <t>ee0f3b9a0f234db6754acd0fe4976457e55208e6d133e052fdc1eed50129bd59</t>
  </si>
  <si>
    <t>55e733cdd99b5adae489a80fcd1b6a39fad20ddb29b91a40ae20d021f555cc3d</t>
  </si>
  <si>
    <t>a2d89b07ba379b910a04ff123d602a0c8a30991167da5bd60b038c2793abe7d6</t>
  </si>
  <si>
    <t>bac38f96c395819326924af9eb942b3537c21c4374bbdf939bb491284820aacf</t>
  </si>
  <si>
    <t>170dbbebd2a2593b53d8335aa59807b0a377302c03f489c60ed93b183d62da0e</t>
  </si>
  <si>
    <t>62ccc9ed07eed2f6d11de7c3b45739f9c62ed29f59a36b3f6aabeb97a72c70cf</t>
  </si>
  <si>
    <t>c10afbd9ebc26b963ec32f0fde9cd474ef25aaf2b2523585e595f70884870718</t>
  </si>
  <si>
    <t>31d74390d5342a1336f55102fb1c1a552726d4c59e0e3df8dd4ba11ac45a32bf</t>
  </si>
  <si>
    <t>79d84775d5cf26554d025ace4a4bca11cc6b2fa8c7b7fe381958b4f67cb19a5a</t>
  </si>
  <si>
    <t>eb736918910965a2052606d1a7e5c8b27cd9c1caaf06618ce949fc572a22b8eb</t>
  </si>
  <si>
    <t>a5bfb52b466cefdb95fd0299c174b1e284d90ebbdd0397aa67278c2c406737c9</t>
  </si>
  <si>
    <t>e6ee734a114784a48c6940a4b91c18934de5d46aa1558c56332734f5f0cf7079</t>
  </si>
  <si>
    <t>283704d83e8597d734bb35ed496ec03cde4d166293b2b450381d0713029b04e5</t>
  </si>
  <si>
    <t>f65f3627357d9dadd382cf40f5fe9c0f91222211e08a7a5fb99debc51dd23262</t>
  </si>
  <si>
    <t>f146d72fe13db8a327c48f9a88b4b083cd352547280e6a8c76ec51d0c09d6a7e</t>
  </si>
  <si>
    <t>4ed668a0e158541855dee411570962b8d25a2cef691a14b77f0a6b3a03b62b26</t>
  </si>
  <si>
    <t>4488d9816f6e4c8fedd50bcbdf5dcd9b3a0154287858e29c0a771af33e771ce1</t>
  </si>
  <si>
    <t>c8a5ad3fd0826f78fa38d29e86ef7c7beecaf0b001105378080a9caf99821885</t>
  </si>
  <si>
    <t>d0c64622d2eca71069f074497f59d5b7001562a509e0f7c52108a50c09eceb7f</t>
  </si>
  <si>
    <t>3cb75d6e9693f57b6568ecb1c2c8d624903d017b96eedeb4ed2aefea228ed031</t>
  </si>
  <si>
    <t>4d57dc387fca3c9630253e6262ed7ed430d6432e32ae2d78755e40bc6adc36e6</t>
  </si>
  <si>
    <t>3175aa9d091cee350683ed095296e6028deaec963d9fa2df9d1b47db5c3da477</t>
  </si>
  <si>
    <t>7f555d89a1f0a2ef6d5400a9477745c60630ee65e3542a9a85f505fbe428a403</t>
  </si>
  <si>
    <t>5c54825ea3612a5e10f4dd60db31623a2ba5b3da6a2408e078bbe02ec0645129</t>
  </si>
  <si>
    <t>f3932c3fa65c954b718cf2d6163076535af3a29044a50d42601d908b3b8ddb8c</t>
  </si>
  <si>
    <t>767a971240d50ebdee4217a617d95b7a295d2c650ff9773eb58faa3d8d99d383</t>
  </si>
  <si>
    <t>813c0418161a5248f9244d144748b298b4ba137ca9e28305bb780e2680ab7c4e</t>
  </si>
  <si>
    <t>171157e616eff7fe9148ecd3ffeb1b950435fffdcb47e2aae218a3e419b29aa8</t>
  </si>
  <si>
    <t>c7ebe955faf1379989fb0313aa068056a163a7d91fe6d4244ed53737a1564e4c</t>
  </si>
  <si>
    <t>f32fe7859330a5d825568c3bc10ea641cfef36aae6644e85e05c8372a54ada1e</t>
  </si>
  <si>
    <t>82516a7f6ca0147016ce4b46a2151c03225d9de96f5a41f15aab736583695fae</t>
  </si>
  <si>
    <t>21903a03d39cf4cdb4b924c68e84b4ca9c8d786f62c664e7d18664a755c7f62d</t>
  </si>
  <si>
    <t>77f0421feacc268232d0141861f81b7f57382c20dde020ad7b08cfc640c20169</t>
  </si>
  <si>
    <t>69168464de114786025c081d61ba5bd78dc38f732493039bdfbaa1ad3be73ecd</t>
  </si>
  <si>
    <t>2cd23499467948c26c7db196ce31c645cf237e4233a25d28176d896ade8fb4d4</t>
  </si>
  <si>
    <t>d570030c59e877b4694e0c2b5480eb8965ea93c25a136111afcbd5ce18a52fd8</t>
  </si>
  <si>
    <t>7d64035934fe3e470efe0d81cb1d1e902cfe78283d37693809b916650a3ba7b3</t>
  </si>
  <si>
    <t>959b46b0609ebf0acdedf8fda8f927c85d060125e976d42f827b880a86544519</t>
  </si>
  <si>
    <t>212b6c9b7049bf5cb6938b0690e197d93eab9e46b9e87d2d19f9d24ae6af2065</t>
  </si>
  <si>
    <t>3fca7ecdd25dae3986ca16ac649e25184c1f6ec1a8a34fcf14433a2a8f918820</t>
  </si>
  <si>
    <t>2255058335e4c2b2744759ef47b064f2f84f6a7a983725ace74f0cf12be2175b</t>
  </si>
  <si>
    <t>e1576007927ebf08e02840c9747973cdfa42fa7ebcaabe16d2847d77a81acfbe</t>
  </si>
  <si>
    <t>69df404a6ed59965f24e9cc99be50e65d526f00884c99a83c0da56100d86654a</t>
  </si>
  <si>
    <t>7ac7e3a924a35e8beb2c187e801b3e9047dfea699fbac9e5a85928f15f29d06f</t>
  </si>
  <si>
    <t>2400696dd867378fc5eb937974b8ff39c44dbff0c50a9cb5fde3d88ad35fed07</t>
  </si>
  <si>
    <t>083031b1ca9cedaa6d8f6de6d8d674dd253a786ac60ff02f3b448ae2fd12ddbb</t>
  </si>
  <si>
    <t>de8a7131f2e78a0911e18a956c3ff985300014ff122b04390a99784dfbcb25d1</t>
  </si>
  <si>
    <t>1665c62d679f4119d9c38a0e98832e10462e8011af103e1d242fb7cc94ea49e7</t>
  </si>
  <si>
    <t>2ecec5861f2049d664187846ef0d446fd8449ceff6eb25c84ec16c231edbe168</t>
  </si>
  <si>
    <t>4b441ac7e6f12d1367dbdc066f3db53dc6428a2b0266a37c51f9e060f68ce434</t>
  </si>
  <si>
    <t>ce4cdb85ba2eacc47b2c2bc389d25bd345d797a0006c7f0d92d0cef8bf051fd8</t>
  </si>
  <si>
    <t>9498bd2520b4bf45a3820aaf2a215495b238ac805072807bb22ba65fad762307</t>
  </si>
  <si>
    <t>2445ee1776be835565cb2ed9e3fa9a6a865f22ff76b4f82af3d8d7b4df12b6cd</t>
  </si>
  <si>
    <t>5fb3ad2637aa6b0640697a3e095298e0ca87f304aed8d48e03208287fd187ffb</t>
  </si>
  <si>
    <t>cb087c19311e6c99b284d6dc6ba0991cd5e466f0b58b6efd738b706552b2c3f2</t>
  </si>
  <si>
    <t>657653200b6fb8553ec81cf2f183040c0aff398cc280acb8a43af7f27b0f5271</t>
  </si>
  <si>
    <t>ff9028c122d467d80f350709b48efea31ef709e33dcd5199375fc1b0d7b9a830</t>
  </si>
  <si>
    <t>4449112eafd05551b1ff179fa5c65000a7b83739dd35566de1ccdf41233705df</t>
  </si>
  <si>
    <t>6b7f3d1b0fd7f209850f8c9a64b02759f9650d7214a745c276b0787430224b4e</t>
  </si>
  <si>
    <t>2bfbe42cd37756a75beec520d6821ee322c4dc03d4323778fd28729bcd72916c</t>
  </si>
  <si>
    <t>d20f68ceda3431015e184f7ecfb0dee46d87987e4e9d16009f259d192e3c9638</t>
  </si>
  <si>
    <t>f9c0a9dfb40a16d5077cab68fc22790d3a268251831dd8dd045ed4e93ba10d4f</t>
  </si>
  <si>
    <t>45deb4ec313a0e83d40b922cbb4134f6a6c0fb66f2c93d0ee19258d888a55218</t>
  </si>
  <si>
    <t>d934edad27e51fdc8e617638afcc027db8a6f77742ad3923d64f8feba09e0971</t>
  </si>
  <si>
    <t>644d7ddb9ef9bf74edc536206520a8e442547fa2dfa09ffd871e271a948c7a9a</t>
  </si>
  <si>
    <t>236c3b6704050457fb4b7efe86ef9a533f7425ef18ea39708990d26629c3adb0</t>
  </si>
  <si>
    <t>d86750049c0e94c829755539588f99267a52bd83127fda67fa5dd89e2a167880</t>
  </si>
  <si>
    <t>a3b0df7bd7227382afe7911a10e364c2782d509d925ff3e297394a90c1b7628d</t>
  </si>
  <si>
    <t>389f3cb3ec0fa568ee96ad8f643718dbf31d1b2469de23650f8e1dcf3dc4ec30</t>
  </si>
  <si>
    <t>84556409edde01121ce74cf77723f65cabf43193296b9e0d5a8b9a2afb79459c</t>
  </si>
  <si>
    <t>8a6ac552fdba613dfba25323510603281223aaa6172b0bf5f679f0dd157aa3fe</t>
  </si>
  <si>
    <t>18b0908624825392049f5d9173ea6ccbd410c14c4afd571304bd9d71260347f7</t>
  </si>
  <si>
    <t>38913dbfd9204532132677405e538301d7db99ac6ac1a70cab82c574066b9d3d</t>
  </si>
  <si>
    <t>295d0b1f6185ffad2152db07b9de99d9c14e9a3af03953588ade195e4b8247f2</t>
  </si>
  <si>
    <t>282c1870961ebf13ba5568e771e1055975ea9cfede1a839a349d66025e85cb40</t>
  </si>
  <si>
    <t>63fc0a3f2461157a4ab2a06f9b1ae6065efdb4d167d39dd223a8091c0219f0eb</t>
  </si>
  <si>
    <t>7ade4e74ac754c0f784754062fc5944013025d45ade9b30d4448d900508f232a</t>
  </si>
  <si>
    <t>a012d0095a1bdd40b0ac1bd3e085125fdd8b80a8cf4339824f61940bc97a74f1</t>
  </si>
  <si>
    <t>99859b434f62c43e5f8b64a1cd61805225f32799ef12dc440474002d8265930e</t>
  </si>
  <si>
    <t>aa1cc7dd3b559ef5c913d339927173251a39bd22d9ff861438dea07465b94f6c</t>
  </si>
  <si>
    <t>a73641d3ff52de0c0dd0dbd11f1c06594e1da4103bbc4fb5a05749e3e5eee5e5</t>
  </si>
  <si>
    <t>8c5040346882c3f404a8df91c305cf2c2255a33f6ec9baa6d466447e9e122099</t>
  </si>
  <si>
    <t>7695270a9c6b83a6d0ebc4e72fb00e1da2e2b2df0c93aadc40593b60a05492ae</t>
  </si>
  <si>
    <t>ba9d904a194ebfe2564f457d7c89c1dc05f877fffc570afc633d204f884a56c3</t>
  </si>
  <si>
    <t>df97c78e2619c0636e2d8bc59442367c9a38bab94fc52a4bfe8136ed7b9acb5d</t>
  </si>
  <si>
    <t>17c1ed353aa4239ae4865a15b4f9d6fdf345173f5c9d2ce222c5e91cc7f925fe</t>
  </si>
  <si>
    <t>043f42b7a5b1ba487bcce0e3c074852aea4d2520ace6212a0e0b398a79bab0e6</t>
  </si>
  <si>
    <t>310024de620a4cf3422a8930af898813bc98570a2f5987e18d5d81ae6313abfd</t>
  </si>
  <si>
    <t>47a1bd4bb8ead11dd3c88ffd99d3ca0be2501f0c29c50b6e3db2662fe07c70d4</t>
  </si>
  <si>
    <t>dc5fb3714f30918d5bdba650e371bacdac5d9ce84620a3e8f712c54ab7fbcbde</t>
  </si>
  <si>
    <t>5e1ef99beb4e8419f42c2939b10148c82b3e7ab27fad4d952395395e198f78b0</t>
  </si>
  <si>
    <t>b50cb571c0ce3d18ef49f36a80673e6ac986ca0f8221d0b2f15e9c985d2f80bc</t>
  </si>
  <si>
    <t>d3a209267d7de90b8d8edebd4569aea99f99096a1730749adc5f8ae78f141ec3</t>
  </si>
  <si>
    <t>4ccbb6e376e67c8a895371137c0e458642b106bbc401a07b9c76a8d3f190263e</t>
  </si>
  <si>
    <t>d70bf97b2fcd1c092df4c64aa29d857529104c87e3120a0e0815e7ec0ea4e66b</t>
  </si>
  <si>
    <t>658a02b093941bfe970f140ed09e08f091c3a6c80390332e459c520f39661f7a</t>
  </si>
  <si>
    <t>297db1ccc21c645bf23c22995eb243bf915b4214e0333eb1ebcf21d1aa74f2d6</t>
  </si>
  <si>
    <t>2297c782c4738d9c808fbcdfc256cb4e8ffb842d013f0f812ee3a73bd2be60d4</t>
  </si>
  <si>
    <t xml:space="preserve">d4bae87a56a4ad9311e97c87401a1e04a74213747aca9f8bbd9be5da50acf574 	</t>
  </si>
  <si>
    <t>d6514d5b35dbbd8b05a27f65483fb696a6a7149da3975326b320c18f67c44452</t>
  </si>
  <si>
    <t>7006ce8d335acabeb88757d57e0384bdaac25f15207167d18b0713f51c106908</t>
  </si>
  <si>
    <t>21d3f3a43efa45c1b484d60f90c9f9cd49566dfe9e3cedeb34973df335112142</t>
  </si>
  <si>
    <t>eecb7d7ac30d8f8288b42fba6d8c711a1b6165df3ac5c79b81763b1525adb04a</t>
  </si>
  <si>
    <t>5b6929fbc0a9e3e80b745d331afee1b1a018081263fa4f5a044c2a64fae7692c</t>
  </si>
  <si>
    <t>9ba8c6f109b9e5f60d10fd071bfadd13c9856a2c3460f0e0593c8193b0436d60</t>
  </si>
  <si>
    <t>c394a6c201b5cd4ad4f9a9bba8b075aaa702c44d097de173bfd7ce769ee91489</t>
  </si>
  <si>
    <t>a7a8f2c6c8d49af7c0b7dce4ef0a8285f8ae35227edb3575b90f825363c83f8d</t>
  </si>
  <si>
    <t>a58f95dd2360996c0d19dc3da2624a9b6992de3aa9a1f65a53f771047a4d55c1</t>
  </si>
  <si>
    <t>d043166b58999ddf2500d45ede6d4e50c21860c2ce232b849f54e6cbc3e9123a</t>
  </si>
  <si>
    <t>9c008e653832fe513428ae93446cba369e0965acc226178ae1fcda3395fadc3a</t>
  </si>
  <si>
    <t>1085b291c77cf15da8762be4a87a6f87869fbe21b6a08eeeb9e27f0f81e5b223</t>
  </si>
  <si>
    <t>eb4006c039443ccd20b5e51f55fd7d435462f7882b2872283e7c91b2b09d15c7</t>
  </si>
  <si>
    <t>1084b74d8dbf3dca8945f404f78f2bb3e7bfa62da4fbebc90f878b5511c6e9d3</t>
  </si>
  <si>
    <t xml:space="preserve">697d133c4d76cb408fb9b8917cb484a0448d1f0640757735ee583121a862020f 	</t>
  </si>
  <si>
    <t>30d7515fce1d7e1ecf88f23cf7c3de0782b0e0004971b7f1724bbbbdb98c7046</t>
  </si>
  <si>
    <t>074625ba1b2c6467ca400afb1616de03722de8d2dd051c3745d2f0a60ba90cab</t>
  </si>
  <si>
    <t>8d1660182da8cd3b13e9ad0c021cb2177314188a1ac0475936f2a74fa0f5bee3</t>
  </si>
  <si>
    <t xml:space="preserve">418081f0df54507481123c30a482d21b328d8cba9014a354b4b2342438c06e97 	</t>
  </si>
  <si>
    <t xml:space="preserve">f84445958d97e9c9ab7841344d0fa13cac8191558939a75e81ce7346bed6e3a6 	</t>
  </si>
  <si>
    <t xml:space="preserve">eee961a9d888b2f7853296e3ff7f9c2fea91ec2171c78cefe3e3ee093ed3be07 	</t>
  </si>
  <si>
    <t>60bb8528fbacdf572f04850f416d3d7b5558ad7462696dae4aa6b250d6c8ef90</t>
  </si>
  <si>
    <t>282c1f4cc1f3fc1d515029dc2a62bb99dd6d0ea50b4a9dfa9e93125820d8a1f7</t>
  </si>
  <si>
    <t xml:space="preserve">c75003ce0034291f6e29afad606cdfd884242de226aa582ed7f25f2b9c002cf5 	</t>
  </si>
  <si>
    <t>b57743fc10b098ac76373d4d4cd42d38f070da4c4d9bba1a9cc5c4f4808da98a</t>
  </si>
  <si>
    <t xml:space="preserve">1c8d82e1224e4d69f41420cf093906309d9f60dd841a21c87c0b8f732d08bcc9 	</t>
  </si>
  <si>
    <t xml:space="preserve">d5b3a13af971f610e27f19dd6ed7c55faf8dc227d9df071223f2aa84d1dd6530 	</t>
  </si>
  <si>
    <t>a9bffde5294a2bc28ed14ee9173d5800d4df91a1b76e5f72e71a32d1331fa330</t>
  </si>
  <si>
    <t>924e35a24a346b74bd7adc7690256a91026ec42564d970d9c38be0c09a15efd5</t>
  </si>
  <si>
    <t>57bafaf9a37e05144686e9a80a96fa4db9bd7681b1e2b7f550d902650ba4ba08</t>
  </si>
  <si>
    <t>40d0f2c740290c280c8f840b82d1ca433a49b0b33ab768fbd7f45bf4753d87da</t>
  </si>
  <si>
    <t>a7f66c59faa736dc5c01c12ff7e70566c0fc3dc04cef2731bdab18b17cff4e47</t>
  </si>
  <si>
    <t>447069aa4a2a12d76dd7e7ad47fcb9c46510da54e52d804616463e56293581b3</t>
  </si>
  <si>
    <t>023a73eba76867d3e4ff97758035b70e037af218bc4d1b6df9a9d46d5613606f</t>
  </si>
  <si>
    <t>ccd74382aa08bda91af1a77e48e77ca28ae30f339ad19f84c432dbcee9f8b955</t>
  </si>
  <si>
    <t>0b17277ec7515d742401afa04c0407c79c5521dd74e31191d4612e93a972e869</t>
  </si>
  <si>
    <t>1d3103a3b7e58a991ff2340aea3c616e16d18e430598bef77d5cd3114f6db40f</t>
  </si>
  <si>
    <t>84cc54b4a37153a9c9f18eca5de8efd037461ba7fc4a3dfd193845dbef2beb6f</t>
  </si>
  <si>
    <t>923d15f1158dfc97b43938b4d25cf9bc59ae5ffa466d892b527a5e819c3d0538</t>
  </si>
  <si>
    <t>49466edc9b1c543dc80b46d48b20f3c4deaad7f4717ca06155e2f8d7300ad70c</t>
  </si>
  <si>
    <t>9d8a170b78b82b23fa6c4247c3ac64a9a5b1c1a3ac4dd4720163d7ad624a0b07</t>
  </si>
  <si>
    <t>2840e38c453633bc3f7e4a13c4604b554a5cde604c5bd6f2d6d69071cc16659a</t>
  </si>
  <si>
    <t>c14cf6f0f072ffb4ae77f4a1179aa917714013823ae17f227c46396a5dce4bd9</t>
  </si>
  <si>
    <t>e15d278ea47806dfe8c4a1edf9eb081342754296e36d374a0bb109d916b85f36</t>
  </si>
  <si>
    <t>96ec51181ea18f49a61ebb7968f591844febbb07296c0ed5e3843e86b59a50e0</t>
  </si>
  <si>
    <t>7f777257e15951f248c9a818d95ef098f891b3dad01ea6c37d04e2571e636ada</t>
  </si>
  <si>
    <t>9e5811ebd75d473f0d5688bd247b0aa69d8320c42184538fdb30e5c83f161401</t>
  </si>
  <si>
    <t>6edd5d337d894bd443d2192f2fca3a826d5e7846dbe692c1a421ff1077d7d6a3</t>
  </si>
  <si>
    <t>f85a7666dc746eec02e6a7b6bb21b08ec0ac8113ae31e0a07703ee3d97c1f6ec</t>
  </si>
  <si>
    <t>4f4561b26cc96f37643c71f2d0746e4594fa34084c110774399ffc74a21ca96d</t>
  </si>
  <si>
    <t>594ac6ac9b07b8845791b1d3d38175e8bc6fd3e0dcd4276d5c7d659805bbf24a</t>
  </si>
  <si>
    <t>5fefdada8c6b008d7db92103d82e872e35de17a33ef44343f0251c2d0b821f0e</t>
  </si>
  <si>
    <t>df9a6cf7eae2ee96a023e8c5a3386bf98fb1877fd82e080e5f807a9d6d3f7627</t>
  </si>
  <si>
    <t>750a23c1f9a38eb7c9d7fbb7e2615bae0ee3cb40194ddc5aa7c04a1a0a4df7bc</t>
  </si>
  <si>
    <t>66b7e8fc4a15e981676c290422f70ce00c968f13a73d9594d307d507a37fcdb9</t>
  </si>
  <si>
    <t>cba0635eaa68a01a1d2577b6d43ab2801b4b12d3b210b6f8464c5ad4e8c3e6c7</t>
  </si>
  <si>
    <t>c984fa984ef539cd112fc73154bc096c7983a6cb3dd701bcbb7399869002be5d</t>
  </si>
  <si>
    <t>509c590dc0eb6ca9ceb87316cb5fabe5dcec3bce216988d4bed7b8c943ce3177</t>
  </si>
  <si>
    <t>c7e84e71657a93b4f89aa9a627e582988fa3aaddf97bed2a4743990d180473dd</t>
  </si>
  <si>
    <t>aaee804a6d9858757d88f730f49480e6ea1d172be2193931e9d6bc2dfd74fcb8</t>
  </si>
  <si>
    <t>c6065c7b1e20e8ab959969f6ef9cb7ce5caa2a76ddbe3a0561b9822de69217d4</t>
  </si>
  <si>
    <t>d04caac273f1c2f498735a740bf7c8f01e1b3344c89512865152b12c3e8644f4</t>
  </si>
  <si>
    <t>e8da0e3f1730656a0a8f9c66f69e65bffdc68279bf23ee6ccd871c00e72038e6</t>
  </si>
  <si>
    <t>8f4b86d3e6a4bc7a7708271f20e615cd3cd41ed0737e0dbe3cfbb5add8ff2850</t>
  </si>
  <si>
    <t>d6ec8942905b7991a43a43f1f2a7c17d9d07ce866ae75abe136deec1a495e99a</t>
  </si>
  <si>
    <t>828b1bf694488ed6166537cc14e1b0d942f9d033b68b78d71d03cc3e8829d130</t>
  </si>
  <si>
    <t>e70847d81030d15a88028a4e6334fe73566938f6e48ce17aeafea57aed955fd7</t>
  </si>
  <si>
    <t>9f51de9f64ffeabd9fd675e572c6206097e252e4c730c4020401d3065155a3c8</t>
  </si>
  <si>
    <t>d1e1f55545a5bdd819fc7f55b003a66104b63e214f6f3d8cae7e06d3009dc6da</t>
  </si>
  <si>
    <t xml:space="preserve">ac8a3b2f874499c7da25d7a6247ad9dec19c2c07711726a6e57a83bb18b99322 	</t>
  </si>
  <si>
    <t>3b8237409195f29abac543cd0786e450c5cc4c1c8dbab1bad44e7e283b2f5bc8</t>
  </si>
  <si>
    <t>a51d00093a262c335c286752fbbe7aa59a872c8ff7f61c415938ff011e35a38f</t>
  </si>
  <si>
    <t>1a3f88d64f3f1623be0b6b5605a9759a31fe841a1720fe52fb59c795fabe11e2</t>
  </si>
  <si>
    <t>5b2f68c84218f10fe24a6c69d50d40bd7c56b1b0522569d7f096527e7f5acdbb</t>
  </si>
  <si>
    <t>208dc6b97bc6df99579329e18fbd52f8eab13975f81b5b24191085449e7aa43c</t>
  </si>
  <si>
    <t>25f5ffd041f5a19778d8a3948a6098575a4c8e0c1bda40bbfae51bbf58115940</t>
  </si>
  <si>
    <t>4639180f06a29cd5dec1a8592cd542467e9497a13faabc37fd92f182c6784090</t>
  </si>
  <si>
    <t>a183d106d26e58e8f934e1370b345e596349544ab127dcdfc4d99b25d782cb8b</t>
  </si>
  <si>
    <t>276351c3f860c10b890962a93b0924f9ff0cf0ad8ad4d30ff1d139a964350ed7</t>
  </si>
  <si>
    <t>fcb7485ae9c60983fb1befbefe55fd8393b70ab784db97337161ca7d7d84799e</t>
  </si>
  <si>
    <t>2ec548f9faf154e3cfe2a7cf572d533b9ec2c8a3e5920d271eb66b2b3648cca0</t>
  </si>
  <si>
    <t>0f711b0d54ffdafafcac44bde750bffb4d57ce159d4c575560f7218959019634</t>
  </si>
  <si>
    <t>7750777a0cc0c13125931aa4949447528b155a3c392ee89486f3f4fd8d7a6ca7</t>
  </si>
  <si>
    <t>facc0a68315596be67cb8f1efea01d26f576ce22554c54fe9b8acd47235d9556</t>
  </si>
  <si>
    <t>98655e75cca18de0c9e441d96c02ef60ca0cc3af6f412e720d3caf10b5fba8c7</t>
  </si>
  <si>
    <t>8d5dc9573f5774aa3d50df50580d7e52266b7d1e673a9fe649523d42a056ab33</t>
  </si>
  <si>
    <t>06891e95c1b4089dd76aeaf607530832f7c6d8518622cc6df636869d75d49c78</t>
  </si>
  <si>
    <t>e5bf16aef1a3ddcdd2443f400ac9f1e617c0eb986df818bf9a713dd593b37a95</t>
  </si>
  <si>
    <t>2aa237f1a7db64c521795970092c3ae864e5a3862d94045393c950f9e268a5a2</t>
  </si>
  <si>
    <t>5832da49f4876e160eb2f3812f4c626732b0da83a0b9ea5be28821100c5fc538</t>
  </si>
  <si>
    <t>1d2b40186d1f36ba4717c1ede17f5aa25670c02d3ccfc922714fd78472f147e9</t>
  </si>
  <si>
    <t>090bfc6772bf0b6a63c33268dcab180217c6c4139787771c3434761106b990b9</t>
  </si>
  <si>
    <t>8760c163b6a9829a17c11349c8d2a9b4bc4b81d8ba63f509517c209821638026</t>
  </si>
  <si>
    <t>616b170459d2fd2737fcc870c8937182b068d3eeab8c0c7068724b97ca3e167f</t>
  </si>
  <si>
    <t>cca8bef669f7210c7a6a2f98fa34c50c36b4a881d051b3951766aaadc811bec3</t>
  </si>
  <si>
    <t>c9beee588d8d88c75bf5a4508e341d2cc02590f37937afc67d764a8d48a48956</t>
  </si>
  <si>
    <t xml:space="preserve">e005b33158979f5f43d51f5f8a37bb4eaa64a8181000525383ec85200a323ac1 	</t>
  </si>
  <si>
    <t>33ce1b18eac2ce42ab25df335335197242805b664b40cd21d315b8586ed86b0e</t>
  </si>
  <si>
    <t>b51054d882d8776331d9b588bcc117a41db9b5bd90e57f8791b63b333785a3dd</t>
  </si>
  <si>
    <t>a229e4b1dcce000b1e9f087c237358f6ada4420994fff309d5650d7c091c5a59</t>
  </si>
  <si>
    <t xml:space="preserve">b51054d882d8776331d9b588bcc117a41db9b5bd90e57f8791b63b333785a3dd         </t>
  </si>
  <si>
    <t>74397506bdf0f72d00ec76df8dc4ad2541de0e98511d5727c481837ac3405101</t>
  </si>
  <si>
    <t>e8c2cca327759d6cf88827ac37b0897b0b8c802977e2f58d4ebf580738e44d76</t>
  </si>
  <si>
    <t>7b800ab440783d27921f09e00fa5b2892874333634d896aa91936dbcfb9a187e</t>
  </si>
  <si>
    <t>f7a3dbfa3bf0e6283094f481745d9c2c8e82ea22a1cbf855935ed3f714ae938a</t>
  </si>
  <si>
    <t>01d2dec5282d6747227bc6d85ba8e5bb2ce6e8ba84c97bf3f35a72fcf65566d5</t>
  </si>
  <si>
    <t>d66a3c752dc9490893ee52d52bc6c0546414c432a42b33ebd519d2a55b7dc37b</t>
  </si>
  <si>
    <t>da01ed1e6a55e7c9d1417697a558fb9c92f92082db75841baf17b4e2f61faf2f</t>
  </si>
  <si>
    <t>de66ed52d6e6ab61f4d3c666590081789898bf3723a42c84f76aecb0c202f5d7</t>
  </si>
  <si>
    <t>7dee1ae64b388f86d63c67e1e9e50fe9c7b468bba3951bae391f8d2e37a676bb</t>
  </si>
  <si>
    <t>USD Distribution Equivalent</t>
  </si>
  <si>
    <t>USD VALUE OF PLUSTOKEN DISTRIBUTIONS (MILLIONS, LHS)</t>
  </si>
  <si>
    <t>Friday, February 14, 2020, 3:00:19 AM</t>
  </si>
  <si>
    <t>e26900db8c8bf28b0443f5500eab28294c5a77e03425c992cd3e972e7a4fe668</t>
  </si>
  <si>
    <t>623ffc821e69548ca5ff980ed34976bacbd0dd6bcacc81e8d593bb1fc0c2bfbc</t>
  </si>
  <si>
    <t>1ba254b8a312e168b5d592b57a5a8a09222badc116203dea43c3bf1eb134a224</t>
  </si>
  <si>
    <t>e7c1ed27a13d29824052ebf85702dab2b968563d76b83b35c0db0ae0ecaa8b09</t>
  </si>
  <si>
    <t>8ac17fd962586d52b5fd14d3deb0518cec098c4f292a92bc59741a3ee0a94e02</t>
  </si>
  <si>
    <t>f9e55f6d60124a1bbc8bc1884f98520d4124b85b74dbfe32ceaa50098120006b</t>
  </si>
  <si>
    <t>Thursday, February 13, 2020, 6:41:32 AM</t>
  </si>
  <si>
    <t>e9d8273dd0a4d9c28da5f9d8b955d1d24c84248e9291200a711fecc950d19965</t>
  </si>
  <si>
    <t>370f1d73b026b352bb2c0178c5642863f9ddfa0d283f88b7bbdda8028368bb95</t>
  </si>
  <si>
    <t>1283d007d5f3e6b781ebaf6bab4581327268f696dc3e781a5fce8715f995e715</t>
  </si>
  <si>
    <t>f34ea7fd149f67463dd0956b256793af1472d6567e19d94f60b861d27c19e3e8</t>
  </si>
  <si>
    <t>9949e68150df61d9ebcbb0bd8509b0803958bf1a2ffa7b33a6f6d2233c3fd2e3</t>
  </si>
  <si>
    <t>852aa95e2de3eca3c9b6fc1f996dbf9e927522e419ac5e6c12ecb6ec2f9a3d70</t>
  </si>
  <si>
    <t>2ce07c29ff1d2202bb9d0944975342ce8c64cbd691e7ecf494527b9c628d5513</t>
  </si>
  <si>
    <t>c08c9ea6858cf4d0af68c611edc2e0962470013029cf0105b95b400d1993c3b8</t>
  </si>
  <si>
    <t>Wednesday, February 5, 2020, 4:59:56 PM</t>
  </si>
  <si>
    <t>CURRENT DISTRIBUTION BACTH (TO BE INCLUDED IN FOLLOWING UPDATE)</t>
  </si>
  <si>
    <t>REVISIONS AND NON-UNIFOR DISTRIBUTIONS (TO BE INCLUDED IN FOLLOWING UPDATE)</t>
  </si>
  <si>
    <t>WoToken (ANON-2019425157)</t>
  </si>
  <si>
    <t>1C4PZbJLcswHBVLDjNoDCGXJ4YjGrc8ZX8</t>
  </si>
  <si>
    <t>https://oxt.me/address/1C4PZbJLcswHBVLDjNoDCGXJ4YjGrc8ZX8</t>
  </si>
  <si>
    <t>New Mixer Deposit Addresses (Highlighted/Bold)</t>
  </si>
  <si>
    <t>New mixer deposit (WoToken): 1C4PZbJLcswHBVLDjNoDCGXJ4YjGrc8ZX8 (+2650 BTC Mixed)</t>
  </si>
  <si>
    <t>MIXING UPPERBOUND                                    =MIXED-ACCOUNTED FOR</t>
  </si>
  <si>
    <t>MIXED BUT NOT DISTRIBUTED                               = Mixing+Distributing</t>
  </si>
  <si>
    <t>Net New Coins Accounted For</t>
  </si>
  <si>
    <t>Mixed But Not Distributed (Upperbound)</t>
  </si>
  <si>
    <t>Unmixed - Assocociated with Mixer Deposits</t>
  </si>
  <si>
    <t>Unmixed - Associated with Overall Cluster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</si>
</sst>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\-mmm\-yy"/>
    <numFmt numFmtId="165" formatCode="dddd&quot;, &quot;mmmm&quot; &quot;d&quot;, &quot;yyyy&quot;, &quot;h&quot;:&quot;mm&quot;:&quot;ss&quot; &quot;AM/PM"/>
    <numFmt numFmtId="166" formatCode="d\-mmm"/>
    <numFmt numFmtId="167" formatCode="dmmm\-yy"/>
    <numFmt numFmtId="168" formatCode="0.0%"/>
    <numFmt numFmtId="169" formatCode="&quot;$&quot;#,##0.00"/>
    <numFmt numFmtId="170" formatCode="dddd\,\ mmmm\ d\,\ yyyy\ h:mm:ss\ AM/PM"/>
    <numFmt numFmtId="171" formatCode="0.0"/>
  </numFmts>
  <fonts count="28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rgb="FF000000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rgb="FFFF0000"/>
      <name val="Arial"/>
      <family val="2"/>
      <scheme val="maj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  <scheme val="major"/>
    </font>
    <font>
      <sz val="10"/>
      <color rgb="FF000000"/>
      <name val="Arial"/>
      <family val="2"/>
      <scheme val="major"/>
    </font>
    <font>
      <b/>
      <u/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b/>
      <sz val="10"/>
      <color rgb="FFFF0000"/>
      <name val="Arial"/>
      <family val="2"/>
      <scheme val="major"/>
    </font>
    <font>
      <sz val="10"/>
      <color rgb="FFFF0000"/>
      <name val="Arial"/>
      <family val="2"/>
      <scheme val="major"/>
    </font>
    <font>
      <u/>
      <sz val="10"/>
      <color rgb="FF0000FF"/>
      <name val="Arial"/>
      <family val="2"/>
      <scheme val="major"/>
    </font>
    <font>
      <u/>
      <sz val="10"/>
      <color rgb="FF000000"/>
      <name val="Arial"/>
      <family val="2"/>
      <scheme val="major"/>
    </font>
    <font>
      <b/>
      <i/>
      <sz val="10"/>
      <color rgb="FF000000"/>
      <name val="Arial"/>
      <family val="2"/>
      <scheme val="major"/>
    </font>
    <font>
      <b/>
      <sz val="10"/>
      <name val="Arial"/>
      <family val="2"/>
      <scheme val="major"/>
    </font>
    <font>
      <b/>
      <i/>
      <sz val="10"/>
      <color rgb="FFFC5424"/>
      <name val="Arial"/>
      <family val="2"/>
      <scheme val="major"/>
    </font>
    <font>
      <b/>
      <sz val="10"/>
      <color rgb="FFFC5424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15" fontId="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70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71" fontId="7" fillId="4" borderId="1" xfId="0" applyNumberFormat="1" applyFont="1" applyFill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70" fontId="7" fillId="0" borderId="21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" fillId="0" borderId="22" xfId="0" applyFont="1" applyBorder="1" applyAlignment="1">
      <alignment horizontal="left" wrapText="1"/>
    </xf>
    <xf numFmtId="11" fontId="1" fillId="0" borderId="2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5" fillId="0" borderId="0" xfId="1" applyFont="1" applyFill="1" applyAlignment="1"/>
    <xf numFmtId="0" fontId="11" fillId="0" borderId="0" xfId="0" applyFont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/>
    <xf numFmtId="0" fontId="17" fillId="0" borderId="0" xfId="0" applyFont="1" applyFill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3" fontId="16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3" fontId="16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/>
    <xf numFmtId="0" fontId="23" fillId="0" borderId="0" xfId="0" applyFont="1" applyFill="1" applyAlignment="1"/>
    <xf numFmtId="167" fontId="16" fillId="0" borderId="0" xfId="0" applyNumberFormat="1" applyFont="1" applyFill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Alignment="1"/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wrapText="1"/>
    </xf>
    <xf numFmtId="3" fontId="18" fillId="0" borderId="16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right" wrapText="1"/>
    </xf>
    <xf numFmtId="168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/>
    <xf numFmtId="3" fontId="16" fillId="0" borderId="1" xfId="0" applyNumberFormat="1" applyFont="1" applyFill="1" applyBorder="1"/>
    <xf numFmtId="0" fontId="25" fillId="0" borderId="0" xfId="0" applyFont="1" applyFill="1" applyAlignment="1"/>
    <xf numFmtId="3" fontId="16" fillId="0" borderId="0" xfId="0" applyNumberFormat="1" applyFont="1" applyFill="1" applyAlignment="1"/>
    <xf numFmtId="0" fontId="16" fillId="0" borderId="0" xfId="0" applyFont="1" applyFill="1" applyBorder="1" applyAlignment="1"/>
    <xf numFmtId="0" fontId="26" fillId="0" borderId="15" xfId="0" applyFont="1" applyFill="1" applyBorder="1" applyAlignment="1">
      <alignment horizontal="right" wrapText="1"/>
    </xf>
    <xf numFmtId="3" fontId="27" fillId="0" borderId="16" xfId="0" applyNumberFormat="1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/>
    <xf numFmtId="0" fontId="18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/>
    <xf numFmtId="0" fontId="16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9" fillId="0" borderId="9" xfId="0" applyFont="1" applyFill="1" applyBorder="1"/>
    <xf numFmtId="0" fontId="19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18" xfId="0" applyFont="1" applyBorder="1"/>
    <xf numFmtId="0" fontId="9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C5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6094615701793E-2"/>
          <c:y val="4.9570573001951897E-2"/>
          <c:w val="0.8055870335795654"/>
          <c:h val="0.75803328079165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'Sell Volume'!$D$3</c:f>
              <c:strCache>
                <c:ptCount val="1"/>
                <c:pt idx="0">
                  <c:v>BTC Distributed From PlusToken Mixing (LHS)</c:v>
                </c:pt>
              </c:strCache>
            </c:strRef>
          </c:tx>
          <c:spPr>
            <a:solidFill>
              <a:srgbClr val="FC5424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0265087513623757E-2"/>
                  <c:y val="-2.02492216805075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FC-46A5-9B1E-60D0A3F5583B}"/>
                </c:ext>
              </c:extLst>
            </c:dLbl>
            <c:dLbl>
              <c:idx val="7"/>
              <c:layout>
                <c:manualLayout>
                  <c:x val="2.932882146749671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C-46A5-9B1E-60D0A3F5583B}"/>
                </c:ext>
              </c:extLst>
            </c:dLbl>
            <c:dLbl>
              <c:idx val="13"/>
              <c:layout>
                <c:manualLayout>
                  <c:x val="2.6395939320746804E-2"/>
                  <c:y val="3.6448599024912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C-46A5-9B1E-60D0A3F5583B}"/>
                </c:ext>
              </c:extLst>
            </c:dLbl>
            <c:dLbl>
              <c:idx val="21"/>
              <c:layout>
                <c:manualLayout>
                  <c:x val="1.4664410733748225E-3"/>
                  <c:y val="-1.41744551763547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FC-46A5-9B1E-60D0A3F5583B}"/>
                </c:ext>
              </c:extLst>
            </c:dLbl>
            <c:dLbl>
              <c:idx val="41"/>
              <c:layout>
                <c:manualLayout>
                  <c:x val="1.0265087513623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FC-46A5-9B1E-60D0A3F5583B}"/>
                </c:ext>
              </c:extLst>
            </c:dLbl>
            <c:dLbl>
              <c:idx val="55"/>
              <c:layout>
                <c:manualLayout>
                  <c:x val="-1.173152858699858E-2"/>
                  <c:y val="4.0498443361013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FC-46A5-9B1E-60D0A3F5583B}"/>
                </c:ext>
              </c:extLst>
            </c:dLbl>
            <c:dLbl>
              <c:idx val="58"/>
              <c:layout>
                <c:manualLayout>
                  <c:x val="4.3993232201244674E-3"/>
                  <c:y val="-2.02492216805068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FC-46A5-9B1E-60D0A3F55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'Sell Volume'!$E$2:$BR$2</c:f>
              <c:numCache>
                <c:formatCode>d\-mmm\-yy</c:formatCode>
                <c:ptCount val="66"/>
                <c:pt idx="0">
                  <c:v>43896</c:v>
                </c:pt>
                <c:pt idx="1">
                  <c:v>43895</c:v>
                </c:pt>
                <c:pt idx="2">
                  <c:v>43894</c:v>
                </c:pt>
                <c:pt idx="3">
                  <c:v>43893</c:v>
                </c:pt>
                <c:pt idx="4">
                  <c:v>43892</c:v>
                </c:pt>
                <c:pt idx="5">
                  <c:v>43891</c:v>
                </c:pt>
                <c:pt idx="6">
                  <c:v>43890</c:v>
                </c:pt>
                <c:pt idx="7">
                  <c:v>43889</c:v>
                </c:pt>
                <c:pt idx="8">
                  <c:v>43888</c:v>
                </c:pt>
                <c:pt idx="9">
                  <c:v>43887</c:v>
                </c:pt>
                <c:pt idx="10">
                  <c:v>43886</c:v>
                </c:pt>
                <c:pt idx="11">
                  <c:v>43885</c:v>
                </c:pt>
                <c:pt idx="12">
                  <c:v>43884</c:v>
                </c:pt>
                <c:pt idx="13">
                  <c:v>43883</c:v>
                </c:pt>
                <c:pt idx="14">
                  <c:v>43882</c:v>
                </c:pt>
                <c:pt idx="15">
                  <c:v>43881</c:v>
                </c:pt>
                <c:pt idx="16">
                  <c:v>43880</c:v>
                </c:pt>
                <c:pt idx="17">
                  <c:v>43879</c:v>
                </c:pt>
                <c:pt idx="18">
                  <c:v>43878</c:v>
                </c:pt>
                <c:pt idx="19">
                  <c:v>43877</c:v>
                </c:pt>
                <c:pt idx="20">
                  <c:v>43876</c:v>
                </c:pt>
                <c:pt idx="21">
                  <c:v>43875</c:v>
                </c:pt>
                <c:pt idx="22">
                  <c:v>43874</c:v>
                </c:pt>
                <c:pt idx="23">
                  <c:v>43873</c:v>
                </c:pt>
                <c:pt idx="24">
                  <c:v>43872</c:v>
                </c:pt>
                <c:pt idx="25">
                  <c:v>43871</c:v>
                </c:pt>
                <c:pt idx="26">
                  <c:v>43870</c:v>
                </c:pt>
                <c:pt idx="27">
                  <c:v>43869</c:v>
                </c:pt>
                <c:pt idx="28">
                  <c:v>43868</c:v>
                </c:pt>
                <c:pt idx="29">
                  <c:v>43867</c:v>
                </c:pt>
                <c:pt idx="30">
                  <c:v>43866</c:v>
                </c:pt>
                <c:pt idx="31">
                  <c:v>43865</c:v>
                </c:pt>
                <c:pt idx="32">
                  <c:v>43864</c:v>
                </c:pt>
                <c:pt idx="33">
                  <c:v>43863</c:v>
                </c:pt>
                <c:pt idx="34">
                  <c:v>43862</c:v>
                </c:pt>
                <c:pt idx="35">
                  <c:v>43861</c:v>
                </c:pt>
                <c:pt idx="36">
                  <c:v>43860</c:v>
                </c:pt>
                <c:pt idx="37">
                  <c:v>43859</c:v>
                </c:pt>
                <c:pt idx="38">
                  <c:v>43858</c:v>
                </c:pt>
                <c:pt idx="39">
                  <c:v>43857</c:v>
                </c:pt>
                <c:pt idx="40">
                  <c:v>43856</c:v>
                </c:pt>
                <c:pt idx="41">
                  <c:v>43855</c:v>
                </c:pt>
                <c:pt idx="42">
                  <c:v>43854</c:v>
                </c:pt>
                <c:pt idx="43">
                  <c:v>43853</c:v>
                </c:pt>
                <c:pt idx="44">
                  <c:v>43852</c:v>
                </c:pt>
                <c:pt idx="45">
                  <c:v>43851</c:v>
                </c:pt>
                <c:pt idx="46">
                  <c:v>43850</c:v>
                </c:pt>
                <c:pt idx="47">
                  <c:v>43849</c:v>
                </c:pt>
                <c:pt idx="48">
                  <c:v>43848</c:v>
                </c:pt>
                <c:pt idx="49">
                  <c:v>43847</c:v>
                </c:pt>
                <c:pt idx="50">
                  <c:v>43846</c:v>
                </c:pt>
                <c:pt idx="51">
                  <c:v>43845</c:v>
                </c:pt>
                <c:pt idx="52">
                  <c:v>43844</c:v>
                </c:pt>
                <c:pt idx="53">
                  <c:v>43843</c:v>
                </c:pt>
                <c:pt idx="54">
                  <c:v>43842</c:v>
                </c:pt>
                <c:pt idx="55">
                  <c:v>43841</c:v>
                </c:pt>
                <c:pt idx="56">
                  <c:v>43840</c:v>
                </c:pt>
                <c:pt idx="57">
                  <c:v>43839</c:v>
                </c:pt>
                <c:pt idx="58">
                  <c:v>43838</c:v>
                </c:pt>
                <c:pt idx="59">
                  <c:v>43837</c:v>
                </c:pt>
                <c:pt idx="60">
                  <c:v>43836</c:v>
                </c:pt>
                <c:pt idx="61">
                  <c:v>43835</c:v>
                </c:pt>
                <c:pt idx="62">
                  <c:v>43834</c:v>
                </c:pt>
                <c:pt idx="63">
                  <c:v>43833</c:v>
                </c:pt>
                <c:pt idx="64">
                  <c:v>43832</c:v>
                </c:pt>
                <c:pt idx="65">
                  <c:v>43831</c:v>
                </c:pt>
              </c:numCache>
            </c:numRef>
          </c:cat>
          <c:val>
            <c:numRef>
              <c:f>'Sell Volume'!$E$3:$BR$3</c:f>
              <c:numCache>
                <c:formatCode>0</c:formatCode>
                <c:ptCount val="66"/>
                <c:pt idx="0">
                  <c:v>480</c:v>
                </c:pt>
                <c:pt idx="1">
                  <c:v>504</c:v>
                </c:pt>
                <c:pt idx="2">
                  <c:v>0</c:v>
                </c:pt>
                <c:pt idx="3">
                  <c:v>173</c:v>
                </c:pt>
                <c:pt idx="4">
                  <c:v>607</c:v>
                </c:pt>
                <c:pt idx="5">
                  <c:v>0</c:v>
                </c:pt>
                <c:pt idx="6">
                  <c:v>379.45000000000005</c:v>
                </c:pt>
                <c:pt idx="7">
                  <c:v>394.8</c:v>
                </c:pt>
                <c:pt idx="8">
                  <c:v>629.05999999999995</c:v>
                </c:pt>
                <c:pt idx="9">
                  <c:v>154</c:v>
                </c:pt>
                <c:pt idx="10">
                  <c:v>340</c:v>
                </c:pt>
                <c:pt idx="11">
                  <c:v>1195</c:v>
                </c:pt>
                <c:pt idx="12">
                  <c:v>1049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150</c:v>
                </c:pt>
                <c:pt idx="20">
                  <c:v>331</c:v>
                </c:pt>
                <c:pt idx="21">
                  <c:v>364</c:v>
                </c:pt>
                <c:pt idx="22">
                  <c:v>300.60000000000002</c:v>
                </c:pt>
                <c:pt idx="23">
                  <c:v>468</c:v>
                </c:pt>
                <c:pt idx="24">
                  <c:v>717</c:v>
                </c:pt>
                <c:pt idx="25">
                  <c:v>757</c:v>
                </c:pt>
                <c:pt idx="26">
                  <c:v>1562</c:v>
                </c:pt>
                <c:pt idx="27">
                  <c:v>439</c:v>
                </c:pt>
                <c:pt idx="28">
                  <c:v>996</c:v>
                </c:pt>
                <c:pt idx="29">
                  <c:v>1086</c:v>
                </c:pt>
                <c:pt idx="30">
                  <c:v>623</c:v>
                </c:pt>
                <c:pt idx="31">
                  <c:v>243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201</c:v>
                </c:pt>
                <c:pt idx="48">
                  <c:v>0</c:v>
                </c:pt>
                <c:pt idx="49">
                  <c:v>812</c:v>
                </c:pt>
                <c:pt idx="50">
                  <c:v>490</c:v>
                </c:pt>
                <c:pt idx="51">
                  <c:v>724</c:v>
                </c:pt>
                <c:pt idx="52">
                  <c:v>192</c:v>
                </c:pt>
                <c:pt idx="53">
                  <c:v>602</c:v>
                </c:pt>
                <c:pt idx="54">
                  <c:v>1192.5</c:v>
                </c:pt>
                <c:pt idx="55">
                  <c:v>428</c:v>
                </c:pt>
                <c:pt idx="56">
                  <c:v>128</c:v>
                </c:pt>
                <c:pt idx="57">
                  <c:v>370</c:v>
                </c:pt>
                <c:pt idx="58">
                  <c:v>209.54</c:v>
                </c:pt>
                <c:pt idx="59">
                  <c:v>20</c:v>
                </c:pt>
                <c:pt idx="60">
                  <c:v>365</c:v>
                </c:pt>
                <c:pt idx="61">
                  <c:v>358</c:v>
                </c:pt>
                <c:pt idx="62">
                  <c:v>0</c:v>
                </c:pt>
                <c:pt idx="63">
                  <c:v>263</c:v>
                </c:pt>
                <c:pt idx="64">
                  <c:v>226</c:v>
                </c:pt>
                <c:pt idx="65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FC-46A5-9B1E-60D0A3F55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787840"/>
        <c:axId val="2056966864"/>
      </c:barChart>
      <c:lineChart>
        <c:grouping val="standard"/>
        <c:varyColors val="0"/>
        <c:ser>
          <c:idx val="2"/>
          <c:order val="1"/>
          <c:tx>
            <c:strRef>
              <c:f>'Sell Volume'!$D$4</c:f>
              <c:strCache>
                <c:ptCount val="1"/>
                <c:pt idx="0">
                  <c:v>BLX Close Tradingview (RHS)</c:v>
                </c:pt>
              </c:strCache>
            </c:strRef>
          </c:tx>
          <c:spPr>
            <a:ln w="25400" cap="rnd">
              <a:solidFill>
                <a:srgbClr val="1C84FC"/>
              </a:solidFill>
              <a:round/>
            </a:ln>
            <a:effectLst/>
          </c:spPr>
          <c:marker>
            <c:symbol val="none"/>
          </c:marker>
          <c:cat>
            <c:numRef>
              <c:f>'Sell Volume'!$E$2:$BR$2</c:f>
              <c:numCache>
                <c:formatCode>d\-mmm\-yy</c:formatCode>
                <c:ptCount val="66"/>
                <c:pt idx="0">
                  <c:v>43896</c:v>
                </c:pt>
                <c:pt idx="1">
                  <c:v>43895</c:v>
                </c:pt>
                <c:pt idx="2">
                  <c:v>43894</c:v>
                </c:pt>
                <c:pt idx="3">
                  <c:v>43893</c:v>
                </c:pt>
                <c:pt idx="4">
                  <c:v>43892</c:v>
                </c:pt>
                <c:pt idx="5">
                  <c:v>43891</c:v>
                </c:pt>
                <c:pt idx="6">
                  <c:v>43890</c:v>
                </c:pt>
                <c:pt idx="7">
                  <c:v>43889</c:v>
                </c:pt>
                <c:pt idx="8">
                  <c:v>43888</c:v>
                </c:pt>
                <c:pt idx="9">
                  <c:v>43887</c:v>
                </c:pt>
                <c:pt idx="10">
                  <c:v>43886</c:v>
                </c:pt>
                <c:pt idx="11">
                  <c:v>43885</c:v>
                </c:pt>
                <c:pt idx="12">
                  <c:v>43884</c:v>
                </c:pt>
                <c:pt idx="13">
                  <c:v>43883</c:v>
                </c:pt>
                <c:pt idx="14">
                  <c:v>43882</c:v>
                </c:pt>
                <c:pt idx="15">
                  <c:v>43881</c:v>
                </c:pt>
                <c:pt idx="16">
                  <c:v>43880</c:v>
                </c:pt>
                <c:pt idx="17">
                  <c:v>43879</c:v>
                </c:pt>
                <c:pt idx="18">
                  <c:v>43878</c:v>
                </c:pt>
                <c:pt idx="19">
                  <c:v>43877</c:v>
                </c:pt>
                <c:pt idx="20">
                  <c:v>43876</c:v>
                </c:pt>
                <c:pt idx="21">
                  <c:v>43875</c:v>
                </c:pt>
                <c:pt idx="22">
                  <c:v>43874</c:v>
                </c:pt>
                <c:pt idx="23">
                  <c:v>43873</c:v>
                </c:pt>
                <c:pt idx="24">
                  <c:v>43872</c:v>
                </c:pt>
                <c:pt idx="25">
                  <c:v>43871</c:v>
                </c:pt>
                <c:pt idx="26">
                  <c:v>43870</c:v>
                </c:pt>
                <c:pt idx="27">
                  <c:v>43869</c:v>
                </c:pt>
                <c:pt idx="28">
                  <c:v>43868</c:v>
                </c:pt>
                <c:pt idx="29">
                  <c:v>43867</c:v>
                </c:pt>
                <c:pt idx="30">
                  <c:v>43866</c:v>
                </c:pt>
                <c:pt idx="31">
                  <c:v>43865</c:v>
                </c:pt>
                <c:pt idx="32">
                  <c:v>43864</c:v>
                </c:pt>
                <c:pt idx="33">
                  <c:v>43863</c:v>
                </c:pt>
                <c:pt idx="34">
                  <c:v>43862</c:v>
                </c:pt>
                <c:pt idx="35">
                  <c:v>43861</c:v>
                </c:pt>
                <c:pt idx="36">
                  <c:v>43860</c:v>
                </c:pt>
                <c:pt idx="37">
                  <c:v>43859</c:v>
                </c:pt>
                <c:pt idx="38">
                  <c:v>43858</c:v>
                </c:pt>
                <c:pt idx="39">
                  <c:v>43857</c:v>
                </c:pt>
                <c:pt idx="40">
                  <c:v>43856</c:v>
                </c:pt>
                <c:pt idx="41">
                  <c:v>43855</c:v>
                </c:pt>
                <c:pt idx="42">
                  <c:v>43854</c:v>
                </c:pt>
                <c:pt idx="43">
                  <c:v>43853</c:v>
                </c:pt>
                <c:pt idx="44">
                  <c:v>43852</c:v>
                </c:pt>
                <c:pt idx="45">
                  <c:v>43851</c:v>
                </c:pt>
                <c:pt idx="46">
                  <c:v>43850</c:v>
                </c:pt>
                <c:pt idx="47">
                  <c:v>43849</c:v>
                </c:pt>
                <c:pt idx="48">
                  <c:v>43848</c:v>
                </c:pt>
                <c:pt idx="49">
                  <c:v>43847</c:v>
                </c:pt>
                <c:pt idx="50">
                  <c:v>43846</c:v>
                </c:pt>
                <c:pt idx="51">
                  <c:v>43845</c:v>
                </c:pt>
                <c:pt idx="52">
                  <c:v>43844</c:v>
                </c:pt>
                <c:pt idx="53">
                  <c:v>43843</c:v>
                </c:pt>
                <c:pt idx="54">
                  <c:v>43842</c:v>
                </c:pt>
                <c:pt idx="55">
                  <c:v>43841</c:v>
                </c:pt>
                <c:pt idx="56">
                  <c:v>43840</c:v>
                </c:pt>
                <c:pt idx="57">
                  <c:v>43839</c:v>
                </c:pt>
                <c:pt idx="58">
                  <c:v>43838</c:v>
                </c:pt>
                <c:pt idx="59">
                  <c:v>43837</c:v>
                </c:pt>
                <c:pt idx="60">
                  <c:v>43836</c:v>
                </c:pt>
                <c:pt idx="61">
                  <c:v>43835</c:v>
                </c:pt>
                <c:pt idx="62">
                  <c:v>43834</c:v>
                </c:pt>
                <c:pt idx="63">
                  <c:v>43833</c:v>
                </c:pt>
                <c:pt idx="64">
                  <c:v>43832</c:v>
                </c:pt>
                <c:pt idx="65">
                  <c:v>43831</c:v>
                </c:pt>
              </c:numCache>
            </c:numRef>
          </c:cat>
          <c:val>
            <c:numRef>
              <c:f>'Sell Volume'!$E$4:$BR$4</c:f>
              <c:numCache>
                <c:formatCode>General</c:formatCode>
                <c:ptCount val="66"/>
                <c:pt idx="0">
                  <c:v>9116.82</c:v>
                </c:pt>
                <c:pt idx="1">
                  <c:v>9071.15</c:v>
                </c:pt>
                <c:pt idx="2">
                  <c:v>8763.43</c:v>
                </c:pt>
                <c:pt idx="3">
                  <c:v>8759</c:v>
                </c:pt>
                <c:pt idx="4">
                  <c:v>8919.65</c:v>
                </c:pt>
                <c:pt idx="5">
                  <c:v>8530.64</c:v>
                </c:pt>
                <c:pt idx="6">
                  <c:v>8531.4699999999993</c:v>
                </c:pt>
                <c:pt idx="7">
                  <c:v>8707.85</c:v>
                </c:pt>
                <c:pt idx="8">
                  <c:v>8812.39</c:v>
                </c:pt>
                <c:pt idx="9">
                  <c:v>8785.2999999999993</c:v>
                </c:pt>
                <c:pt idx="10">
                  <c:v>9307.11</c:v>
                </c:pt>
                <c:pt idx="11">
                  <c:v>9666.11</c:v>
                </c:pt>
                <c:pt idx="12">
                  <c:v>9978.4500000000007</c:v>
                </c:pt>
                <c:pt idx="13">
                  <c:v>9673.07</c:v>
                </c:pt>
                <c:pt idx="14">
                  <c:v>9610.5</c:v>
                </c:pt>
                <c:pt idx="15">
                  <c:v>9610.5</c:v>
                </c:pt>
                <c:pt idx="16">
                  <c:v>9604.3799999999992</c:v>
                </c:pt>
                <c:pt idx="17">
                  <c:v>10185.27</c:v>
                </c:pt>
                <c:pt idx="18">
                  <c:v>9704</c:v>
                </c:pt>
                <c:pt idx="19">
                  <c:v>9933.99</c:v>
                </c:pt>
                <c:pt idx="20">
                  <c:v>9909.16</c:v>
                </c:pt>
                <c:pt idx="21">
                  <c:v>10370.48</c:v>
                </c:pt>
                <c:pt idx="22">
                  <c:v>10241.94</c:v>
                </c:pt>
                <c:pt idx="23">
                  <c:v>10354.35</c:v>
                </c:pt>
                <c:pt idx="24">
                  <c:v>10271.129999999999</c:v>
                </c:pt>
                <c:pt idx="25">
                  <c:v>9852.9599999999991</c:v>
                </c:pt>
                <c:pt idx="26">
                  <c:v>10167.879999999999</c:v>
                </c:pt>
                <c:pt idx="27">
                  <c:v>9907.49</c:v>
                </c:pt>
                <c:pt idx="28">
                  <c:v>9810.73</c:v>
                </c:pt>
                <c:pt idx="29">
                  <c:v>9757.52</c:v>
                </c:pt>
                <c:pt idx="30">
                  <c:v>9611.92</c:v>
                </c:pt>
                <c:pt idx="31">
                  <c:v>9165.5</c:v>
                </c:pt>
                <c:pt idx="32">
                  <c:v>9286.2900000000009</c:v>
                </c:pt>
                <c:pt idx="33">
                  <c:v>9325.99</c:v>
                </c:pt>
                <c:pt idx="34">
                  <c:v>9379.93</c:v>
                </c:pt>
                <c:pt idx="35">
                  <c:v>9333.5400000000009</c:v>
                </c:pt>
                <c:pt idx="36">
                  <c:v>9503.2999999999993</c:v>
                </c:pt>
                <c:pt idx="37">
                  <c:v>9283.6200000000008</c:v>
                </c:pt>
                <c:pt idx="38">
                  <c:v>9389.2999999999993</c:v>
                </c:pt>
                <c:pt idx="39">
                  <c:v>8893.7800000000007</c:v>
                </c:pt>
                <c:pt idx="40">
                  <c:v>8954.5499999999993</c:v>
                </c:pt>
                <c:pt idx="41">
                  <c:v>8329.52</c:v>
                </c:pt>
                <c:pt idx="42">
                  <c:v>8426.6200000000008</c:v>
                </c:pt>
                <c:pt idx="43">
                  <c:v>8389.27</c:v>
                </c:pt>
                <c:pt idx="44">
                  <c:v>8660.9500000000007</c:v>
                </c:pt>
                <c:pt idx="45">
                  <c:v>8723.7099999999991</c:v>
                </c:pt>
                <c:pt idx="46">
                  <c:v>8631.6299999999992</c:v>
                </c:pt>
                <c:pt idx="47">
                  <c:v>8702.65</c:v>
                </c:pt>
                <c:pt idx="48">
                  <c:v>8908.93</c:v>
                </c:pt>
                <c:pt idx="49">
                  <c:v>8898.19</c:v>
                </c:pt>
                <c:pt idx="50">
                  <c:v>8719.51</c:v>
                </c:pt>
                <c:pt idx="51">
                  <c:v>8815.06</c:v>
                </c:pt>
                <c:pt idx="52">
                  <c:v>8829.11</c:v>
                </c:pt>
                <c:pt idx="53">
                  <c:v>8107.89</c:v>
                </c:pt>
                <c:pt idx="54">
                  <c:v>8175.9</c:v>
                </c:pt>
                <c:pt idx="55">
                  <c:v>8022.1</c:v>
                </c:pt>
                <c:pt idx="56">
                  <c:v>8192.25</c:v>
                </c:pt>
                <c:pt idx="57">
                  <c:v>7816.44</c:v>
                </c:pt>
                <c:pt idx="58">
                  <c:v>8045.25</c:v>
                </c:pt>
                <c:pt idx="59">
                  <c:v>8162.71</c:v>
                </c:pt>
                <c:pt idx="60">
                  <c:v>7763.22</c:v>
                </c:pt>
                <c:pt idx="61">
                  <c:v>7353.24</c:v>
                </c:pt>
                <c:pt idx="62">
                  <c:v>7349.68</c:v>
                </c:pt>
                <c:pt idx="63">
                  <c:v>7330.79</c:v>
                </c:pt>
                <c:pt idx="64">
                  <c:v>6945.79</c:v>
                </c:pt>
                <c:pt idx="65">
                  <c:v>7176.37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FC-46A5-9B1E-60D0A3F55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026048"/>
        <c:axId val="2056971440"/>
      </c:lineChart>
      <c:dateAx>
        <c:axId val="205078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DATE (UTC)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d/m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9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2056966864"/>
        <c:crosses val="autoZero"/>
        <c:auto val="1"/>
        <c:lblOffset val="100"/>
        <c:baseTimeUnit val="days"/>
      </c:dateAx>
      <c:valAx>
        <c:axId val="205696686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BTC DISTRIBUTED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2050787840"/>
        <c:crosses val="autoZero"/>
        <c:crossBetween val="between"/>
      </c:valAx>
      <c:valAx>
        <c:axId val="2056971440"/>
        <c:scaling>
          <c:orientation val="minMax"/>
          <c:max val="10500"/>
          <c:min val="6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BLX Close (USD)</a:t>
                </a:r>
              </a:p>
            </c:rich>
          </c:tx>
          <c:layout>
            <c:manualLayout>
              <c:xMode val="edge"/>
              <c:yMode val="edge"/>
              <c:x val="0.95391821613812111"/>
              <c:y val="0.39564333204213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982026048"/>
        <c:crosses val="max"/>
        <c:crossBetween val="between"/>
      </c:valAx>
      <c:dateAx>
        <c:axId val="198202604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2056971440"/>
        <c:crosses val="autoZero"/>
        <c:auto val="1"/>
        <c:lblOffset val="100"/>
        <c:baseTimeUnit val="days"/>
      </c:date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bg1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3018649275796"/>
          <c:y val="4.9570573001951897E-2"/>
          <c:w val="0.78273004599398732"/>
          <c:h val="0.82890555667342602"/>
        </c:manualLayout>
      </c:layout>
      <c:areaChart>
        <c:grouping val="standard"/>
        <c:varyColors val="0"/>
        <c:ser>
          <c:idx val="0"/>
          <c:order val="0"/>
          <c:tx>
            <c:strRef>
              <c:f>'Sell Volume'!$D$5</c:f>
              <c:strCache>
                <c:ptCount val="1"/>
                <c:pt idx="0">
                  <c:v>USD VALUE OF PLUSTOKEN DISTRIBUTIONS (MILLIONS, LHS)</c:v>
                </c:pt>
              </c:strCache>
            </c:strRef>
          </c:tx>
          <c:spPr>
            <a:solidFill>
              <a:srgbClr val="FC5424">
                <a:alpha val="34000"/>
              </a:srgbClr>
            </a:solidFill>
            <a:ln w="25400">
              <a:solidFill>
                <a:srgbClr val="FC5424"/>
              </a:solidFill>
            </a:ln>
            <a:effectLst/>
          </c:spPr>
          <c:cat>
            <c:numRef>
              <c:f>'Sell Volume'!$E$2:$HI$2</c:f>
              <c:numCache>
                <c:formatCode>d\-mmm\-yy</c:formatCode>
                <c:ptCount val="213"/>
                <c:pt idx="0">
                  <c:v>43896</c:v>
                </c:pt>
                <c:pt idx="1">
                  <c:v>43895</c:v>
                </c:pt>
                <c:pt idx="2">
                  <c:v>43894</c:v>
                </c:pt>
                <c:pt idx="3">
                  <c:v>43893</c:v>
                </c:pt>
                <c:pt idx="4">
                  <c:v>43892</c:v>
                </c:pt>
                <c:pt idx="5">
                  <c:v>43891</c:v>
                </c:pt>
                <c:pt idx="6">
                  <c:v>43890</c:v>
                </c:pt>
                <c:pt idx="7">
                  <c:v>43889</c:v>
                </c:pt>
                <c:pt idx="8">
                  <c:v>43888</c:v>
                </c:pt>
                <c:pt idx="9">
                  <c:v>43887</c:v>
                </c:pt>
                <c:pt idx="10">
                  <c:v>43886</c:v>
                </c:pt>
                <c:pt idx="11">
                  <c:v>43885</c:v>
                </c:pt>
                <c:pt idx="12">
                  <c:v>43884</c:v>
                </c:pt>
                <c:pt idx="13">
                  <c:v>43883</c:v>
                </c:pt>
                <c:pt idx="14">
                  <c:v>43882</c:v>
                </c:pt>
                <c:pt idx="15">
                  <c:v>43881</c:v>
                </c:pt>
                <c:pt idx="16">
                  <c:v>43880</c:v>
                </c:pt>
                <c:pt idx="17">
                  <c:v>43879</c:v>
                </c:pt>
                <c:pt idx="18">
                  <c:v>43878</c:v>
                </c:pt>
                <c:pt idx="19">
                  <c:v>43877</c:v>
                </c:pt>
                <c:pt idx="20">
                  <c:v>43876</c:v>
                </c:pt>
                <c:pt idx="21">
                  <c:v>43875</c:v>
                </c:pt>
                <c:pt idx="22">
                  <c:v>43874</c:v>
                </c:pt>
                <c:pt idx="23">
                  <c:v>43873</c:v>
                </c:pt>
                <c:pt idx="24">
                  <c:v>43872</c:v>
                </c:pt>
                <c:pt idx="25">
                  <c:v>43871</c:v>
                </c:pt>
                <c:pt idx="26">
                  <c:v>43870</c:v>
                </c:pt>
                <c:pt idx="27">
                  <c:v>43869</c:v>
                </c:pt>
                <c:pt idx="28">
                  <c:v>43868</c:v>
                </c:pt>
                <c:pt idx="29">
                  <c:v>43867</c:v>
                </c:pt>
                <c:pt idx="30">
                  <c:v>43866</c:v>
                </c:pt>
                <c:pt idx="31">
                  <c:v>43865</c:v>
                </c:pt>
                <c:pt idx="32">
                  <c:v>43864</c:v>
                </c:pt>
                <c:pt idx="33">
                  <c:v>43863</c:v>
                </c:pt>
                <c:pt idx="34">
                  <c:v>43862</c:v>
                </c:pt>
                <c:pt idx="35">
                  <c:v>43861</c:v>
                </c:pt>
                <c:pt idx="36">
                  <c:v>43860</c:v>
                </c:pt>
                <c:pt idx="37">
                  <c:v>43859</c:v>
                </c:pt>
                <c:pt idx="38">
                  <c:v>43858</c:v>
                </c:pt>
                <c:pt idx="39">
                  <c:v>43857</c:v>
                </c:pt>
                <c:pt idx="40">
                  <c:v>43856</c:v>
                </c:pt>
                <c:pt idx="41">
                  <c:v>43855</c:v>
                </c:pt>
                <c:pt idx="42">
                  <c:v>43854</c:v>
                </c:pt>
                <c:pt idx="43">
                  <c:v>43853</c:v>
                </c:pt>
                <c:pt idx="44">
                  <c:v>43852</c:v>
                </c:pt>
                <c:pt idx="45">
                  <c:v>43851</c:v>
                </c:pt>
                <c:pt idx="46">
                  <c:v>43850</c:v>
                </c:pt>
                <c:pt idx="47">
                  <c:v>43849</c:v>
                </c:pt>
                <c:pt idx="48">
                  <c:v>43848</c:v>
                </c:pt>
                <c:pt idx="49">
                  <c:v>43847</c:v>
                </c:pt>
                <c:pt idx="50">
                  <c:v>43846</c:v>
                </c:pt>
                <c:pt idx="51">
                  <c:v>43845</c:v>
                </c:pt>
                <c:pt idx="52">
                  <c:v>43844</c:v>
                </c:pt>
                <c:pt idx="53">
                  <c:v>43843</c:v>
                </c:pt>
                <c:pt idx="54">
                  <c:v>43842</c:v>
                </c:pt>
                <c:pt idx="55">
                  <c:v>43841</c:v>
                </c:pt>
                <c:pt idx="56">
                  <c:v>43840</c:v>
                </c:pt>
                <c:pt idx="57">
                  <c:v>43839</c:v>
                </c:pt>
                <c:pt idx="58">
                  <c:v>43838</c:v>
                </c:pt>
                <c:pt idx="59">
                  <c:v>43837</c:v>
                </c:pt>
                <c:pt idx="60">
                  <c:v>43836</c:v>
                </c:pt>
                <c:pt idx="61">
                  <c:v>43835</c:v>
                </c:pt>
                <c:pt idx="62">
                  <c:v>43834</c:v>
                </c:pt>
                <c:pt idx="63">
                  <c:v>43833</c:v>
                </c:pt>
                <c:pt idx="64">
                  <c:v>43832</c:v>
                </c:pt>
                <c:pt idx="65">
                  <c:v>43831</c:v>
                </c:pt>
                <c:pt idx="66">
                  <c:v>43830</c:v>
                </c:pt>
                <c:pt idx="67">
                  <c:v>43829</c:v>
                </c:pt>
                <c:pt idx="68">
                  <c:v>43828</c:v>
                </c:pt>
                <c:pt idx="69">
                  <c:v>43827</c:v>
                </c:pt>
                <c:pt idx="70">
                  <c:v>43826</c:v>
                </c:pt>
                <c:pt idx="71">
                  <c:v>43825</c:v>
                </c:pt>
                <c:pt idx="72">
                  <c:v>43824</c:v>
                </c:pt>
                <c:pt idx="73">
                  <c:v>43823</c:v>
                </c:pt>
                <c:pt idx="74">
                  <c:v>43822</c:v>
                </c:pt>
                <c:pt idx="75">
                  <c:v>43821</c:v>
                </c:pt>
                <c:pt idx="76">
                  <c:v>43820</c:v>
                </c:pt>
                <c:pt idx="77">
                  <c:v>43819</c:v>
                </c:pt>
                <c:pt idx="78">
                  <c:v>43818</c:v>
                </c:pt>
                <c:pt idx="79">
                  <c:v>43817</c:v>
                </c:pt>
                <c:pt idx="80">
                  <c:v>43816</c:v>
                </c:pt>
                <c:pt idx="81">
                  <c:v>43815</c:v>
                </c:pt>
                <c:pt idx="82">
                  <c:v>43814</c:v>
                </c:pt>
                <c:pt idx="83">
                  <c:v>43813</c:v>
                </c:pt>
                <c:pt idx="84">
                  <c:v>43812</c:v>
                </c:pt>
                <c:pt idx="85">
                  <c:v>43811</c:v>
                </c:pt>
                <c:pt idx="86">
                  <c:v>43810</c:v>
                </c:pt>
                <c:pt idx="87">
                  <c:v>43809</c:v>
                </c:pt>
                <c:pt idx="88">
                  <c:v>43808</c:v>
                </c:pt>
                <c:pt idx="89">
                  <c:v>43807</c:v>
                </c:pt>
                <c:pt idx="90">
                  <c:v>43806</c:v>
                </c:pt>
                <c:pt idx="91">
                  <c:v>43805</c:v>
                </c:pt>
                <c:pt idx="92">
                  <c:v>43804</c:v>
                </c:pt>
                <c:pt idx="93">
                  <c:v>43803</c:v>
                </c:pt>
                <c:pt idx="94">
                  <c:v>43802</c:v>
                </c:pt>
                <c:pt idx="95">
                  <c:v>43801</c:v>
                </c:pt>
                <c:pt idx="96">
                  <c:v>43800</c:v>
                </c:pt>
                <c:pt idx="97">
                  <c:v>43799</c:v>
                </c:pt>
                <c:pt idx="98">
                  <c:v>43798</c:v>
                </c:pt>
                <c:pt idx="99">
                  <c:v>43797</c:v>
                </c:pt>
                <c:pt idx="100">
                  <c:v>43796</c:v>
                </c:pt>
                <c:pt idx="101">
                  <c:v>43795</c:v>
                </c:pt>
                <c:pt idx="102">
                  <c:v>43794</c:v>
                </c:pt>
                <c:pt idx="103">
                  <c:v>43793</c:v>
                </c:pt>
                <c:pt idx="104">
                  <c:v>43792</c:v>
                </c:pt>
                <c:pt idx="105">
                  <c:v>43791</c:v>
                </c:pt>
                <c:pt idx="106">
                  <c:v>43790</c:v>
                </c:pt>
                <c:pt idx="107">
                  <c:v>43789</c:v>
                </c:pt>
                <c:pt idx="108">
                  <c:v>43788</c:v>
                </c:pt>
                <c:pt idx="109">
                  <c:v>43787</c:v>
                </c:pt>
                <c:pt idx="110">
                  <c:v>43786</c:v>
                </c:pt>
                <c:pt idx="111">
                  <c:v>43785</c:v>
                </c:pt>
                <c:pt idx="112">
                  <c:v>43784</c:v>
                </c:pt>
                <c:pt idx="113">
                  <c:v>43783</c:v>
                </c:pt>
                <c:pt idx="114">
                  <c:v>43782</c:v>
                </c:pt>
                <c:pt idx="115">
                  <c:v>43781</c:v>
                </c:pt>
                <c:pt idx="116">
                  <c:v>43780</c:v>
                </c:pt>
                <c:pt idx="117">
                  <c:v>43779</c:v>
                </c:pt>
                <c:pt idx="118">
                  <c:v>43778</c:v>
                </c:pt>
                <c:pt idx="119">
                  <c:v>43777</c:v>
                </c:pt>
                <c:pt idx="120">
                  <c:v>43776</c:v>
                </c:pt>
                <c:pt idx="121">
                  <c:v>43775</c:v>
                </c:pt>
                <c:pt idx="122">
                  <c:v>43774</c:v>
                </c:pt>
                <c:pt idx="123">
                  <c:v>43773</c:v>
                </c:pt>
                <c:pt idx="124">
                  <c:v>43772</c:v>
                </c:pt>
                <c:pt idx="125">
                  <c:v>43771</c:v>
                </c:pt>
                <c:pt idx="126">
                  <c:v>43770</c:v>
                </c:pt>
                <c:pt idx="127">
                  <c:v>43769</c:v>
                </c:pt>
                <c:pt idx="128">
                  <c:v>43768</c:v>
                </c:pt>
                <c:pt idx="129">
                  <c:v>43767</c:v>
                </c:pt>
                <c:pt idx="130">
                  <c:v>43766</c:v>
                </c:pt>
                <c:pt idx="131">
                  <c:v>43765</c:v>
                </c:pt>
                <c:pt idx="132">
                  <c:v>43764</c:v>
                </c:pt>
                <c:pt idx="133">
                  <c:v>43763</c:v>
                </c:pt>
                <c:pt idx="134">
                  <c:v>43762</c:v>
                </c:pt>
                <c:pt idx="135">
                  <c:v>43761</c:v>
                </c:pt>
                <c:pt idx="136">
                  <c:v>43760</c:v>
                </c:pt>
                <c:pt idx="137">
                  <c:v>43759</c:v>
                </c:pt>
                <c:pt idx="138">
                  <c:v>43758</c:v>
                </c:pt>
                <c:pt idx="139">
                  <c:v>43757</c:v>
                </c:pt>
                <c:pt idx="140">
                  <c:v>43756</c:v>
                </c:pt>
                <c:pt idx="141">
                  <c:v>43755</c:v>
                </c:pt>
                <c:pt idx="142">
                  <c:v>43754</c:v>
                </c:pt>
                <c:pt idx="143">
                  <c:v>43753</c:v>
                </c:pt>
                <c:pt idx="144">
                  <c:v>43752</c:v>
                </c:pt>
                <c:pt idx="145">
                  <c:v>43751</c:v>
                </c:pt>
                <c:pt idx="146">
                  <c:v>43750</c:v>
                </c:pt>
                <c:pt idx="147">
                  <c:v>43749</c:v>
                </c:pt>
                <c:pt idx="148">
                  <c:v>43748</c:v>
                </c:pt>
                <c:pt idx="149">
                  <c:v>43747</c:v>
                </c:pt>
                <c:pt idx="150">
                  <c:v>43746</c:v>
                </c:pt>
                <c:pt idx="151">
                  <c:v>43745</c:v>
                </c:pt>
                <c:pt idx="152">
                  <c:v>43744</c:v>
                </c:pt>
                <c:pt idx="153">
                  <c:v>43743</c:v>
                </c:pt>
                <c:pt idx="154">
                  <c:v>43742</c:v>
                </c:pt>
                <c:pt idx="155">
                  <c:v>43741</c:v>
                </c:pt>
                <c:pt idx="156">
                  <c:v>43740</c:v>
                </c:pt>
                <c:pt idx="157">
                  <c:v>43739</c:v>
                </c:pt>
                <c:pt idx="158">
                  <c:v>43738</c:v>
                </c:pt>
                <c:pt idx="159">
                  <c:v>43737</c:v>
                </c:pt>
                <c:pt idx="160">
                  <c:v>43736</c:v>
                </c:pt>
                <c:pt idx="161">
                  <c:v>43735</c:v>
                </c:pt>
                <c:pt idx="162">
                  <c:v>43734</c:v>
                </c:pt>
                <c:pt idx="163">
                  <c:v>43733</c:v>
                </c:pt>
                <c:pt idx="164">
                  <c:v>43732</c:v>
                </c:pt>
                <c:pt idx="165">
                  <c:v>43731</c:v>
                </c:pt>
                <c:pt idx="166">
                  <c:v>43730</c:v>
                </c:pt>
                <c:pt idx="167">
                  <c:v>43729</c:v>
                </c:pt>
                <c:pt idx="168">
                  <c:v>43728</c:v>
                </c:pt>
                <c:pt idx="169">
                  <c:v>43727</c:v>
                </c:pt>
                <c:pt idx="170">
                  <c:v>43726</c:v>
                </c:pt>
                <c:pt idx="171">
                  <c:v>43725</c:v>
                </c:pt>
                <c:pt idx="172">
                  <c:v>43724</c:v>
                </c:pt>
                <c:pt idx="173">
                  <c:v>43723</c:v>
                </c:pt>
                <c:pt idx="174">
                  <c:v>43722</c:v>
                </c:pt>
                <c:pt idx="175">
                  <c:v>43721</c:v>
                </c:pt>
                <c:pt idx="176">
                  <c:v>43720</c:v>
                </c:pt>
                <c:pt idx="177">
                  <c:v>43719</c:v>
                </c:pt>
                <c:pt idx="178">
                  <c:v>43718</c:v>
                </c:pt>
                <c:pt idx="179">
                  <c:v>43717</c:v>
                </c:pt>
                <c:pt idx="180">
                  <c:v>43716</c:v>
                </c:pt>
                <c:pt idx="181">
                  <c:v>43715</c:v>
                </c:pt>
                <c:pt idx="182">
                  <c:v>43714</c:v>
                </c:pt>
                <c:pt idx="183">
                  <c:v>43713</c:v>
                </c:pt>
                <c:pt idx="184">
                  <c:v>43712</c:v>
                </c:pt>
                <c:pt idx="185">
                  <c:v>43711</c:v>
                </c:pt>
                <c:pt idx="186">
                  <c:v>43710</c:v>
                </c:pt>
                <c:pt idx="187">
                  <c:v>43709</c:v>
                </c:pt>
                <c:pt idx="188">
                  <c:v>43708</c:v>
                </c:pt>
                <c:pt idx="189">
                  <c:v>43707</c:v>
                </c:pt>
                <c:pt idx="190">
                  <c:v>43706</c:v>
                </c:pt>
                <c:pt idx="191">
                  <c:v>43705</c:v>
                </c:pt>
                <c:pt idx="192">
                  <c:v>43704</c:v>
                </c:pt>
                <c:pt idx="193">
                  <c:v>43703</c:v>
                </c:pt>
                <c:pt idx="194">
                  <c:v>43702</c:v>
                </c:pt>
                <c:pt idx="195">
                  <c:v>43701</c:v>
                </c:pt>
                <c:pt idx="196">
                  <c:v>43700</c:v>
                </c:pt>
                <c:pt idx="197">
                  <c:v>43699</c:v>
                </c:pt>
                <c:pt idx="198">
                  <c:v>43698</c:v>
                </c:pt>
                <c:pt idx="199">
                  <c:v>43697</c:v>
                </c:pt>
                <c:pt idx="200">
                  <c:v>43696</c:v>
                </c:pt>
                <c:pt idx="201">
                  <c:v>43695</c:v>
                </c:pt>
                <c:pt idx="202">
                  <c:v>43694</c:v>
                </c:pt>
                <c:pt idx="203">
                  <c:v>43693</c:v>
                </c:pt>
                <c:pt idx="204">
                  <c:v>43692</c:v>
                </c:pt>
                <c:pt idx="205">
                  <c:v>43691</c:v>
                </c:pt>
                <c:pt idx="206">
                  <c:v>43690</c:v>
                </c:pt>
                <c:pt idx="207">
                  <c:v>43689</c:v>
                </c:pt>
                <c:pt idx="208">
                  <c:v>43688</c:v>
                </c:pt>
                <c:pt idx="209">
                  <c:v>43687</c:v>
                </c:pt>
                <c:pt idx="210">
                  <c:v>43686</c:v>
                </c:pt>
                <c:pt idx="211">
                  <c:v>43685</c:v>
                </c:pt>
                <c:pt idx="212">
                  <c:v>43684</c:v>
                </c:pt>
              </c:numCache>
            </c:numRef>
          </c:cat>
          <c:val>
            <c:numRef>
              <c:f>'Sell Volume'!$E$5:$HI$5</c:f>
              <c:numCache>
                <c:formatCode>"$"#,##0.00</c:formatCode>
                <c:ptCount val="213"/>
                <c:pt idx="0">
                  <c:v>4.3760735999999998</c:v>
                </c:pt>
                <c:pt idx="1">
                  <c:v>4.5718595999999998</c:v>
                </c:pt>
                <c:pt idx="2">
                  <c:v>0</c:v>
                </c:pt>
                <c:pt idx="3">
                  <c:v>1.515307</c:v>
                </c:pt>
                <c:pt idx="4">
                  <c:v>5.4142275499999997</c:v>
                </c:pt>
                <c:pt idx="5">
                  <c:v>0</c:v>
                </c:pt>
                <c:pt idx="6">
                  <c:v>3.2372662915000001</c:v>
                </c:pt>
                <c:pt idx="7">
                  <c:v>3.4378591800000002</c:v>
                </c:pt>
                <c:pt idx="8">
                  <c:v>5.5435220533999985</c:v>
                </c:pt>
                <c:pt idx="9">
                  <c:v>1.3529362</c:v>
                </c:pt>
                <c:pt idx="10">
                  <c:v>3.1644174000000005</c:v>
                </c:pt>
                <c:pt idx="11">
                  <c:v>11.551001450000001</c:v>
                </c:pt>
                <c:pt idx="12">
                  <c:v>10.467394050000001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1.4900985</c:v>
                </c:pt>
                <c:pt idx="20">
                  <c:v>3.2799319599999999</c:v>
                </c:pt>
                <c:pt idx="21">
                  <c:v>3.7748547199999996</c:v>
                </c:pt>
                <c:pt idx="22">
                  <c:v>3.0787271640000005</c:v>
                </c:pt>
                <c:pt idx="23">
                  <c:v>4.8458357999999997</c:v>
                </c:pt>
                <c:pt idx="24">
                  <c:v>7.3644002099999994</c:v>
                </c:pt>
                <c:pt idx="25">
                  <c:v>7.4586907199999999</c:v>
                </c:pt>
                <c:pt idx="26">
                  <c:v>15.882228559999998</c:v>
                </c:pt>
                <c:pt idx="27">
                  <c:v>4.3493881100000005</c:v>
                </c:pt>
                <c:pt idx="28">
                  <c:v>9.77148708</c:v>
                </c:pt>
                <c:pt idx="29">
                  <c:v>10.59666672</c:v>
                </c:pt>
                <c:pt idx="30">
                  <c:v>5.98822616</c:v>
                </c:pt>
                <c:pt idx="31">
                  <c:v>2.2272164999999999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1.7492326499999999</c:v>
                </c:pt>
                <c:pt idx="48">
                  <c:v>0</c:v>
                </c:pt>
                <c:pt idx="49">
                  <c:v>7.2253302800000005</c:v>
                </c:pt>
                <c:pt idx="50">
                  <c:v>4.2725599000000001</c:v>
                </c:pt>
                <c:pt idx="51">
                  <c:v>6.3821034399999998</c:v>
                </c:pt>
                <c:pt idx="52">
                  <c:v>1.6951891200000002</c:v>
                </c:pt>
                <c:pt idx="53">
                  <c:v>4.8809497799999999</c:v>
                </c:pt>
                <c:pt idx="54">
                  <c:v>9.7497607500000001</c:v>
                </c:pt>
                <c:pt idx="55">
                  <c:v>3.4334588000000004</c:v>
                </c:pt>
                <c:pt idx="56">
                  <c:v>1.048608</c:v>
                </c:pt>
                <c:pt idx="57">
                  <c:v>2.8920827999999998</c:v>
                </c:pt>
                <c:pt idx="58">
                  <c:v>1.6858016849999997</c:v>
                </c:pt>
                <c:pt idx="59">
                  <c:v>0.16325420000000002</c:v>
                </c:pt>
                <c:pt idx="60">
                  <c:v>2.8335753000000001</c:v>
                </c:pt>
                <c:pt idx="61">
                  <c:v>2.6324599200000001</c:v>
                </c:pt>
                <c:pt idx="62">
                  <c:v>0</c:v>
                </c:pt>
                <c:pt idx="63">
                  <c:v>1.9279977699999999</c:v>
                </c:pt>
                <c:pt idx="64">
                  <c:v>1.56974854</c:v>
                </c:pt>
                <c:pt idx="65">
                  <c:v>4.8871079699999997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0.62797457999999995</c:v>
                </c:pt>
                <c:pt idx="70">
                  <c:v>2.05042839</c:v>
                </c:pt>
                <c:pt idx="71">
                  <c:v>1.5326223300000001</c:v>
                </c:pt>
                <c:pt idx="72">
                  <c:v>2.89115988</c:v>
                </c:pt>
                <c:pt idx="73">
                  <c:v>2.8518673799999998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0.43340471999999997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0.41268149999999998</c:v>
                </c:pt>
                <c:pt idx="91">
                  <c:v>1.9089744008</c:v>
                </c:pt>
                <c:pt idx="92">
                  <c:v>2.3507210870000002</c:v>
                </c:pt>
                <c:pt idx="93">
                  <c:v>1.8189693120000001</c:v>
                </c:pt>
                <c:pt idx="94">
                  <c:v>1.2045296999999999</c:v>
                </c:pt>
                <c:pt idx="95">
                  <c:v>2.1194476</c:v>
                </c:pt>
                <c:pt idx="96">
                  <c:v>0.77038624</c:v>
                </c:pt>
                <c:pt idx="97">
                  <c:v>0</c:v>
                </c:pt>
                <c:pt idx="98">
                  <c:v>0</c:v>
                </c:pt>
                <c:pt idx="99">
                  <c:v>2.4681344799999998</c:v>
                </c:pt>
                <c:pt idx="100">
                  <c:v>1.13221368</c:v>
                </c:pt>
                <c:pt idx="101">
                  <c:v>4.8148665599999996</c:v>
                </c:pt>
                <c:pt idx="102">
                  <c:v>4.2268150499999999</c:v>
                </c:pt>
                <c:pt idx="103">
                  <c:v>0</c:v>
                </c:pt>
                <c:pt idx="104">
                  <c:v>4.3521548399999999</c:v>
                </c:pt>
                <c:pt idx="105">
                  <c:v>1.8218749999999999</c:v>
                </c:pt>
                <c:pt idx="106">
                  <c:v>4.350220600000001</c:v>
                </c:pt>
                <c:pt idx="107">
                  <c:v>15.111772352250002</c:v>
                </c:pt>
                <c:pt idx="108">
                  <c:v>9.4578314450000001</c:v>
                </c:pt>
                <c:pt idx="109">
                  <c:v>19.601794584</c:v>
                </c:pt>
                <c:pt idx="110">
                  <c:v>12.381754724099999</c:v>
                </c:pt>
                <c:pt idx="111">
                  <c:v>12.831930120500001</c:v>
                </c:pt>
                <c:pt idx="112">
                  <c:v>13.0672730006</c:v>
                </c:pt>
                <c:pt idx="113">
                  <c:v>3.2543846399999996</c:v>
                </c:pt>
                <c:pt idx="114">
                  <c:v>16.66669344</c:v>
                </c:pt>
                <c:pt idx="115">
                  <c:v>18.1735731618</c:v>
                </c:pt>
                <c:pt idx="116">
                  <c:v>36.853874714599996</c:v>
                </c:pt>
                <c:pt idx="117">
                  <c:v>16.591609407999997</c:v>
                </c:pt>
                <c:pt idx="118">
                  <c:v>17.602561665</c:v>
                </c:pt>
                <c:pt idx="119">
                  <c:v>7.0745977800000004</c:v>
                </c:pt>
                <c:pt idx="120">
                  <c:v>3.1931009399999999</c:v>
                </c:pt>
                <c:pt idx="121">
                  <c:v>14.751059947999995</c:v>
                </c:pt>
                <c:pt idx="122">
                  <c:v>21.037696007999998</c:v>
                </c:pt>
                <c:pt idx="123">
                  <c:v>18.356409827899999</c:v>
                </c:pt>
                <c:pt idx="124">
                  <c:v>25.505602887999995</c:v>
                </c:pt>
                <c:pt idx="125">
                  <c:v>0</c:v>
                </c:pt>
                <c:pt idx="126">
                  <c:v>0</c:v>
                </c:pt>
                <c:pt idx="127">
                  <c:v>3.4357474575000011</c:v>
                </c:pt>
                <c:pt idx="128">
                  <c:v>18.445296340799999</c:v>
                </c:pt>
                <c:pt idx="129">
                  <c:v>14.411480987999999</c:v>
                </c:pt>
                <c:pt idx="130">
                  <c:v>2.93609016</c:v>
                </c:pt>
                <c:pt idx="131">
                  <c:v>7.7485347149999999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0.78563574999999997</c:v>
                </c:pt>
                <c:pt idx="148">
                  <c:v>0</c:v>
                </c:pt>
                <c:pt idx="149">
                  <c:v>0</c:v>
                </c:pt>
                <c:pt idx="150">
                  <c:v>18.042053643800003</c:v>
                </c:pt>
                <c:pt idx="151">
                  <c:v>5.2103043248999992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22.388728960000002</c:v>
                </c:pt>
                <c:pt idx="165">
                  <c:v>13.200000059999999</c:v>
                </c:pt>
                <c:pt idx="166">
                  <c:v>10.697244340600001</c:v>
                </c:pt>
                <c:pt idx="167">
                  <c:v>11.673721450400002</c:v>
                </c:pt>
                <c:pt idx="168">
                  <c:v>20.139999389100002</c:v>
                </c:pt>
                <c:pt idx="169">
                  <c:v>21.065548623999995</c:v>
                </c:pt>
                <c:pt idx="170">
                  <c:v>35.834546159999995</c:v>
                </c:pt>
                <c:pt idx="171">
                  <c:v>41.247341777599999</c:v>
                </c:pt>
                <c:pt idx="172">
                  <c:v>33.71726888109999</c:v>
                </c:pt>
                <c:pt idx="173">
                  <c:v>37.254712652899997</c:v>
                </c:pt>
                <c:pt idx="174">
                  <c:v>19.263041232599996</c:v>
                </c:pt>
                <c:pt idx="175">
                  <c:v>27.598813970000002</c:v>
                </c:pt>
                <c:pt idx="176">
                  <c:v>13.833029125999998</c:v>
                </c:pt>
                <c:pt idx="177">
                  <c:v>26.919548361900006</c:v>
                </c:pt>
                <c:pt idx="178">
                  <c:v>42.272728102000002</c:v>
                </c:pt>
                <c:pt idx="179">
                  <c:v>31.662304844400008</c:v>
                </c:pt>
                <c:pt idx="180">
                  <c:v>24.955523685000003</c:v>
                </c:pt>
                <c:pt idx="181">
                  <c:v>33.578032083199993</c:v>
                </c:pt>
                <c:pt idx="182">
                  <c:v>27.839080339200006</c:v>
                </c:pt>
                <c:pt idx="183">
                  <c:v>30.347251164099998</c:v>
                </c:pt>
                <c:pt idx="184">
                  <c:v>22.657621515699997</c:v>
                </c:pt>
                <c:pt idx="185">
                  <c:v>24.315391553099996</c:v>
                </c:pt>
                <c:pt idx="186">
                  <c:v>12.152246435999999</c:v>
                </c:pt>
                <c:pt idx="187">
                  <c:v>5.6950821399999993</c:v>
                </c:pt>
                <c:pt idx="188">
                  <c:v>2.69996883</c:v>
                </c:pt>
                <c:pt idx="189">
                  <c:v>1.3801492799999999</c:v>
                </c:pt>
                <c:pt idx="190">
                  <c:v>0</c:v>
                </c:pt>
                <c:pt idx="191">
                  <c:v>4.9245723161599999</c:v>
                </c:pt>
                <c:pt idx="192">
                  <c:v>1.3225121000000002</c:v>
                </c:pt>
                <c:pt idx="193">
                  <c:v>1.1478519095999999</c:v>
                </c:pt>
                <c:pt idx="194">
                  <c:v>9.7878116500000001</c:v>
                </c:pt>
                <c:pt idx="195">
                  <c:v>0</c:v>
                </c:pt>
                <c:pt idx="196">
                  <c:v>6.3353113600000004</c:v>
                </c:pt>
                <c:pt idx="197">
                  <c:v>9.1088126700000007</c:v>
                </c:pt>
                <c:pt idx="198">
                  <c:v>0.2025914</c:v>
                </c:pt>
                <c:pt idx="199">
                  <c:v>4.4964092799999991</c:v>
                </c:pt>
                <c:pt idx="200">
                  <c:v>16.765408968559999</c:v>
                </c:pt>
                <c:pt idx="201">
                  <c:v>2.2356433980000001</c:v>
                </c:pt>
                <c:pt idx="202">
                  <c:v>5.5969322399999992</c:v>
                </c:pt>
                <c:pt idx="203">
                  <c:v>6.5675959164199993</c:v>
                </c:pt>
                <c:pt idx="204">
                  <c:v>4.5570511044300011</c:v>
                </c:pt>
                <c:pt idx="205">
                  <c:v>3.5975367125399997</c:v>
                </c:pt>
                <c:pt idx="206">
                  <c:v>16.266181605880007</c:v>
                </c:pt>
                <c:pt idx="207">
                  <c:v>16.943189157184001</c:v>
                </c:pt>
                <c:pt idx="208">
                  <c:v>0.1156885</c:v>
                </c:pt>
                <c:pt idx="209">
                  <c:v>18.259854386100002</c:v>
                </c:pt>
                <c:pt idx="210">
                  <c:v>25.893916973499998</c:v>
                </c:pt>
                <c:pt idx="211">
                  <c:v>2.51389</c:v>
                </c:pt>
                <c:pt idx="2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4-4C40-972C-C7A3E164E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0787840"/>
        <c:axId val="2056966864"/>
      </c:areaChart>
      <c:lineChart>
        <c:grouping val="standard"/>
        <c:varyColors val="0"/>
        <c:ser>
          <c:idx val="2"/>
          <c:order val="1"/>
          <c:tx>
            <c:strRef>
              <c:f>'Sell Volume'!$D$4</c:f>
              <c:strCache>
                <c:ptCount val="1"/>
                <c:pt idx="0">
                  <c:v>BLX Close Tradingview (RHS)</c:v>
                </c:pt>
              </c:strCache>
            </c:strRef>
          </c:tx>
          <c:spPr>
            <a:ln w="19050" cap="rnd">
              <a:solidFill>
                <a:srgbClr val="1C84FC"/>
              </a:solidFill>
              <a:round/>
            </a:ln>
            <a:effectLst/>
          </c:spPr>
          <c:marker>
            <c:symbol val="none"/>
          </c:marker>
          <c:cat>
            <c:numRef>
              <c:f>'Sell Volume'!$E$2:$HI$2</c:f>
              <c:numCache>
                <c:formatCode>d\-mmm\-yy</c:formatCode>
                <c:ptCount val="213"/>
                <c:pt idx="0">
                  <c:v>43896</c:v>
                </c:pt>
                <c:pt idx="1">
                  <c:v>43895</c:v>
                </c:pt>
                <c:pt idx="2">
                  <c:v>43894</c:v>
                </c:pt>
                <c:pt idx="3">
                  <c:v>43893</c:v>
                </c:pt>
                <c:pt idx="4">
                  <c:v>43892</c:v>
                </c:pt>
                <c:pt idx="5">
                  <c:v>43891</c:v>
                </c:pt>
                <c:pt idx="6">
                  <c:v>43890</c:v>
                </c:pt>
                <c:pt idx="7">
                  <c:v>43889</c:v>
                </c:pt>
                <c:pt idx="8">
                  <c:v>43888</c:v>
                </c:pt>
                <c:pt idx="9">
                  <c:v>43887</c:v>
                </c:pt>
                <c:pt idx="10">
                  <c:v>43886</c:v>
                </c:pt>
                <c:pt idx="11">
                  <c:v>43885</c:v>
                </c:pt>
                <c:pt idx="12">
                  <c:v>43884</c:v>
                </c:pt>
                <c:pt idx="13">
                  <c:v>43883</c:v>
                </c:pt>
                <c:pt idx="14">
                  <c:v>43882</c:v>
                </c:pt>
                <c:pt idx="15">
                  <c:v>43881</c:v>
                </c:pt>
                <c:pt idx="16">
                  <c:v>43880</c:v>
                </c:pt>
                <c:pt idx="17">
                  <c:v>43879</c:v>
                </c:pt>
                <c:pt idx="18">
                  <c:v>43878</c:v>
                </c:pt>
                <c:pt idx="19">
                  <c:v>43877</c:v>
                </c:pt>
                <c:pt idx="20">
                  <c:v>43876</c:v>
                </c:pt>
                <c:pt idx="21">
                  <c:v>43875</c:v>
                </c:pt>
                <c:pt idx="22">
                  <c:v>43874</c:v>
                </c:pt>
                <c:pt idx="23">
                  <c:v>43873</c:v>
                </c:pt>
                <c:pt idx="24">
                  <c:v>43872</c:v>
                </c:pt>
                <c:pt idx="25">
                  <c:v>43871</c:v>
                </c:pt>
                <c:pt idx="26">
                  <c:v>43870</c:v>
                </c:pt>
                <c:pt idx="27">
                  <c:v>43869</c:v>
                </c:pt>
                <c:pt idx="28">
                  <c:v>43868</c:v>
                </c:pt>
                <c:pt idx="29">
                  <c:v>43867</c:v>
                </c:pt>
                <c:pt idx="30">
                  <c:v>43866</c:v>
                </c:pt>
                <c:pt idx="31">
                  <c:v>43865</c:v>
                </c:pt>
                <c:pt idx="32">
                  <c:v>43864</c:v>
                </c:pt>
                <c:pt idx="33">
                  <c:v>43863</c:v>
                </c:pt>
                <c:pt idx="34">
                  <c:v>43862</c:v>
                </c:pt>
                <c:pt idx="35">
                  <c:v>43861</c:v>
                </c:pt>
                <c:pt idx="36">
                  <c:v>43860</c:v>
                </c:pt>
                <c:pt idx="37">
                  <c:v>43859</c:v>
                </c:pt>
                <c:pt idx="38">
                  <c:v>43858</c:v>
                </c:pt>
                <c:pt idx="39">
                  <c:v>43857</c:v>
                </c:pt>
                <c:pt idx="40">
                  <c:v>43856</c:v>
                </c:pt>
                <c:pt idx="41">
                  <c:v>43855</c:v>
                </c:pt>
                <c:pt idx="42">
                  <c:v>43854</c:v>
                </c:pt>
                <c:pt idx="43">
                  <c:v>43853</c:v>
                </c:pt>
                <c:pt idx="44">
                  <c:v>43852</c:v>
                </c:pt>
                <c:pt idx="45">
                  <c:v>43851</c:v>
                </c:pt>
                <c:pt idx="46">
                  <c:v>43850</c:v>
                </c:pt>
                <c:pt idx="47">
                  <c:v>43849</c:v>
                </c:pt>
                <c:pt idx="48">
                  <c:v>43848</c:v>
                </c:pt>
                <c:pt idx="49">
                  <c:v>43847</c:v>
                </c:pt>
                <c:pt idx="50">
                  <c:v>43846</c:v>
                </c:pt>
                <c:pt idx="51">
                  <c:v>43845</c:v>
                </c:pt>
                <c:pt idx="52">
                  <c:v>43844</c:v>
                </c:pt>
                <c:pt idx="53">
                  <c:v>43843</c:v>
                </c:pt>
                <c:pt idx="54">
                  <c:v>43842</c:v>
                </c:pt>
                <c:pt idx="55">
                  <c:v>43841</c:v>
                </c:pt>
                <c:pt idx="56">
                  <c:v>43840</c:v>
                </c:pt>
                <c:pt idx="57">
                  <c:v>43839</c:v>
                </c:pt>
                <c:pt idx="58">
                  <c:v>43838</c:v>
                </c:pt>
                <c:pt idx="59">
                  <c:v>43837</c:v>
                </c:pt>
                <c:pt idx="60">
                  <c:v>43836</c:v>
                </c:pt>
                <c:pt idx="61">
                  <c:v>43835</c:v>
                </c:pt>
                <c:pt idx="62">
                  <c:v>43834</c:v>
                </c:pt>
                <c:pt idx="63">
                  <c:v>43833</c:v>
                </c:pt>
                <c:pt idx="64">
                  <c:v>43832</c:v>
                </c:pt>
                <c:pt idx="65">
                  <c:v>43831</c:v>
                </c:pt>
                <c:pt idx="66">
                  <c:v>43830</c:v>
                </c:pt>
                <c:pt idx="67">
                  <c:v>43829</c:v>
                </c:pt>
                <c:pt idx="68">
                  <c:v>43828</c:v>
                </c:pt>
                <c:pt idx="69">
                  <c:v>43827</c:v>
                </c:pt>
                <c:pt idx="70">
                  <c:v>43826</c:v>
                </c:pt>
                <c:pt idx="71">
                  <c:v>43825</c:v>
                </c:pt>
                <c:pt idx="72">
                  <c:v>43824</c:v>
                </c:pt>
                <c:pt idx="73">
                  <c:v>43823</c:v>
                </c:pt>
                <c:pt idx="74">
                  <c:v>43822</c:v>
                </c:pt>
                <c:pt idx="75">
                  <c:v>43821</c:v>
                </c:pt>
                <c:pt idx="76">
                  <c:v>43820</c:v>
                </c:pt>
                <c:pt idx="77">
                  <c:v>43819</c:v>
                </c:pt>
                <c:pt idx="78">
                  <c:v>43818</c:v>
                </c:pt>
                <c:pt idx="79">
                  <c:v>43817</c:v>
                </c:pt>
                <c:pt idx="80">
                  <c:v>43816</c:v>
                </c:pt>
                <c:pt idx="81">
                  <c:v>43815</c:v>
                </c:pt>
                <c:pt idx="82">
                  <c:v>43814</c:v>
                </c:pt>
                <c:pt idx="83">
                  <c:v>43813</c:v>
                </c:pt>
                <c:pt idx="84">
                  <c:v>43812</c:v>
                </c:pt>
                <c:pt idx="85">
                  <c:v>43811</c:v>
                </c:pt>
                <c:pt idx="86">
                  <c:v>43810</c:v>
                </c:pt>
                <c:pt idx="87">
                  <c:v>43809</c:v>
                </c:pt>
                <c:pt idx="88">
                  <c:v>43808</c:v>
                </c:pt>
                <c:pt idx="89">
                  <c:v>43807</c:v>
                </c:pt>
                <c:pt idx="90">
                  <c:v>43806</c:v>
                </c:pt>
                <c:pt idx="91">
                  <c:v>43805</c:v>
                </c:pt>
                <c:pt idx="92">
                  <c:v>43804</c:v>
                </c:pt>
                <c:pt idx="93">
                  <c:v>43803</c:v>
                </c:pt>
                <c:pt idx="94">
                  <c:v>43802</c:v>
                </c:pt>
                <c:pt idx="95">
                  <c:v>43801</c:v>
                </c:pt>
                <c:pt idx="96">
                  <c:v>43800</c:v>
                </c:pt>
                <c:pt idx="97">
                  <c:v>43799</c:v>
                </c:pt>
                <c:pt idx="98">
                  <c:v>43798</c:v>
                </c:pt>
                <c:pt idx="99">
                  <c:v>43797</c:v>
                </c:pt>
                <c:pt idx="100">
                  <c:v>43796</c:v>
                </c:pt>
                <c:pt idx="101">
                  <c:v>43795</c:v>
                </c:pt>
                <c:pt idx="102">
                  <c:v>43794</c:v>
                </c:pt>
                <c:pt idx="103">
                  <c:v>43793</c:v>
                </c:pt>
                <c:pt idx="104">
                  <c:v>43792</c:v>
                </c:pt>
                <c:pt idx="105">
                  <c:v>43791</c:v>
                </c:pt>
                <c:pt idx="106">
                  <c:v>43790</c:v>
                </c:pt>
                <c:pt idx="107">
                  <c:v>43789</c:v>
                </c:pt>
                <c:pt idx="108">
                  <c:v>43788</c:v>
                </c:pt>
                <c:pt idx="109">
                  <c:v>43787</c:v>
                </c:pt>
                <c:pt idx="110">
                  <c:v>43786</c:v>
                </c:pt>
                <c:pt idx="111">
                  <c:v>43785</c:v>
                </c:pt>
                <c:pt idx="112">
                  <c:v>43784</c:v>
                </c:pt>
                <c:pt idx="113">
                  <c:v>43783</c:v>
                </c:pt>
                <c:pt idx="114">
                  <c:v>43782</c:v>
                </c:pt>
                <c:pt idx="115">
                  <c:v>43781</c:v>
                </c:pt>
                <c:pt idx="116">
                  <c:v>43780</c:v>
                </c:pt>
                <c:pt idx="117">
                  <c:v>43779</c:v>
                </c:pt>
                <c:pt idx="118">
                  <c:v>43778</c:v>
                </c:pt>
                <c:pt idx="119">
                  <c:v>43777</c:v>
                </c:pt>
                <c:pt idx="120">
                  <c:v>43776</c:v>
                </c:pt>
                <c:pt idx="121">
                  <c:v>43775</c:v>
                </c:pt>
                <c:pt idx="122">
                  <c:v>43774</c:v>
                </c:pt>
                <c:pt idx="123">
                  <c:v>43773</c:v>
                </c:pt>
                <c:pt idx="124">
                  <c:v>43772</c:v>
                </c:pt>
                <c:pt idx="125">
                  <c:v>43771</c:v>
                </c:pt>
                <c:pt idx="126">
                  <c:v>43770</c:v>
                </c:pt>
                <c:pt idx="127">
                  <c:v>43769</c:v>
                </c:pt>
                <c:pt idx="128">
                  <c:v>43768</c:v>
                </c:pt>
                <c:pt idx="129">
                  <c:v>43767</c:v>
                </c:pt>
                <c:pt idx="130">
                  <c:v>43766</c:v>
                </c:pt>
                <c:pt idx="131">
                  <c:v>43765</c:v>
                </c:pt>
                <c:pt idx="132">
                  <c:v>43764</c:v>
                </c:pt>
                <c:pt idx="133">
                  <c:v>43763</c:v>
                </c:pt>
                <c:pt idx="134">
                  <c:v>43762</c:v>
                </c:pt>
                <c:pt idx="135">
                  <c:v>43761</c:v>
                </c:pt>
                <c:pt idx="136">
                  <c:v>43760</c:v>
                </c:pt>
                <c:pt idx="137">
                  <c:v>43759</c:v>
                </c:pt>
                <c:pt idx="138">
                  <c:v>43758</c:v>
                </c:pt>
                <c:pt idx="139">
                  <c:v>43757</c:v>
                </c:pt>
                <c:pt idx="140">
                  <c:v>43756</c:v>
                </c:pt>
                <c:pt idx="141">
                  <c:v>43755</c:v>
                </c:pt>
                <c:pt idx="142">
                  <c:v>43754</c:v>
                </c:pt>
                <c:pt idx="143">
                  <c:v>43753</c:v>
                </c:pt>
                <c:pt idx="144">
                  <c:v>43752</c:v>
                </c:pt>
                <c:pt idx="145">
                  <c:v>43751</c:v>
                </c:pt>
                <c:pt idx="146">
                  <c:v>43750</c:v>
                </c:pt>
                <c:pt idx="147">
                  <c:v>43749</c:v>
                </c:pt>
                <c:pt idx="148">
                  <c:v>43748</c:v>
                </c:pt>
                <c:pt idx="149">
                  <c:v>43747</c:v>
                </c:pt>
                <c:pt idx="150">
                  <c:v>43746</c:v>
                </c:pt>
                <c:pt idx="151">
                  <c:v>43745</c:v>
                </c:pt>
                <c:pt idx="152">
                  <c:v>43744</c:v>
                </c:pt>
                <c:pt idx="153">
                  <c:v>43743</c:v>
                </c:pt>
                <c:pt idx="154">
                  <c:v>43742</c:v>
                </c:pt>
                <c:pt idx="155">
                  <c:v>43741</c:v>
                </c:pt>
                <c:pt idx="156">
                  <c:v>43740</c:v>
                </c:pt>
                <c:pt idx="157">
                  <c:v>43739</c:v>
                </c:pt>
                <c:pt idx="158">
                  <c:v>43738</c:v>
                </c:pt>
                <c:pt idx="159">
                  <c:v>43737</c:v>
                </c:pt>
                <c:pt idx="160">
                  <c:v>43736</c:v>
                </c:pt>
                <c:pt idx="161">
                  <c:v>43735</c:v>
                </c:pt>
                <c:pt idx="162">
                  <c:v>43734</c:v>
                </c:pt>
                <c:pt idx="163">
                  <c:v>43733</c:v>
                </c:pt>
                <c:pt idx="164">
                  <c:v>43732</c:v>
                </c:pt>
                <c:pt idx="165">
                  <c:v>43731</c:v>
                </c:pt>
                <c:pt idx="166">
                  <c:v>43730</c:v>
                </c:pt>
                <c:pt idx="167">
                  <c:v>43729</c:v>
                </c:pt>
                <c:pt idx="168">
                  <c:v>43728</c:v>
                </c:pt>
                <c:pt idx="169">
                  <c:v>43727</c:v>
                </c:pt>
                <c:pt idx="170">
                  <c:v>43726</c:v>
                </c:pt>
                <c:pt idx="171">
                  <c:v>43725</c:v>
                </c:pt>
                <c:pt idx="172">
                  <c:v>43724</c:v>
                </c:pt>
                <c:pt idx="173">
                  <c:v>43723</c:v>
                </c:pt>
                <c:pt idx="174">
                  <c:v>43722</c:v>
                </c:pt>
                <c:pt idx="175">
                  <c:v>43721</c:v>
                </c:pt>
                <c:pt idx="176">
                  <c:v>43720</c:v>
                </c:pt>
                <c:pt idx="177">
                  <c:v>43719</c:v>
                </c:pt>
                <c:pt idx="178">
                  <c:v>43718</c:v>
                </c:pt>
                <c:pt idx="179">
                  <c:v>43717</c:v>
                </c:pt>
                <c:pt idx="180">
                  <c:v>43716</c:v>
                </c:pt>
                <c:pt idx="181">
                  <c:v>43715</c:v>
                </c:pt>
                <c:pt idx="182">
                  <c:v>43714</c:v>
                </c:pt>
                <c:pt idx="183">
                  <c:v>43713</c:v>
                </c:pt>
                <c:pt idx="184">
                  <c:v>43712</c:v>
                </c:pt>
                <c:pt idx="185">
                  <c:v>43711</c:v>
                </c:pt>
                <c:pt idx="186">
                  <c:v>43710</c:v>
                </c:pt>
                <c:pt idx="187">
                  <c:v>43709</c:v>
                </c:pt>
                <c:pt idx="188">
                  <c:v>43708</c:v>
                </c:pt>
                <c:pt idx="189">
                  <c:v>43707</c:v>
                </c:pt>
                <c:pt idx="190">
                  <c:v>43706</c:v>
                </c:pt>
                <c:pt idx="191">
                  <c:v>43705</c:v>
                </c:pt>
                <c:pt idx="192">
                  <c:v>43704</c:v>
                </c:pt>
                <c:pt idx="193">
                  <c:v>43703</c:v>
                </c:pt>
                <c:pt idx="194">
                  <c:v>43702</c:v>
                </c:pt>
                <c:pt idx="195">
                  <c:v>43701</c:v>
                </c:pt>
                <c:pt idx="196">
                  <c:v>43700</c:v>
                </c:pt>
                <c:pt idx="197">
                  <c:v>43699</c:v>
                </c:pt>
                <c:pt idx="198">
                  <c:v>43698</c:v>
                </c:pt>
                <c:pt idx="199">
                  <c:v>43697</c:v>
                </c:pt>
                <c:pt idx="200">
                  <c:v>43696</c:v>
                </c:pt>
                <c:pt idx="201">
                  <c:v>43695</c:v>
                </c:pt>
                <c:pt idx="202">
                  <c:v>43694</c:v>
                </c:pt>
                <c:pt idx="203">
                  <c:v>43693</c:v>
                </c:pt>
                <c:pt idx="204">
                  <c:v>43692</c:v>
                </c:pt>
                <c:pt idx="205">
                  <c:v>43691</c:v>
                </c:pt>
                <c:pt idx="206">
                  <c:v>43690</c:v>
                </c:pt>
                <c:pt idx="207">
                  <c:v>43689</c:v>
                </c:pt>
                <c:pt idx="208">
                  <c:v>43688</c:v>
                </c:pt>
                <c:pt idx="209">
                  <c:v>43687</c:v>
                </c:pt>
                <c:pt idx="210">
                  <c:v>43686</c:v>
                </c:pt>
                <c:pt idx="211">
                  <c:v>43685</c:v>
                </c:pt>
                <c:pt idx="212">
                  <c:v>43684</c:v>
                </c:pt>
              </c:numCache>
            </c:numRef>
          </c:cat>
          <c:val>
            <c:numRef>
              <c:f>'Sell Volume'!$E$4:$HI$4</c:f>
              <c:numCache>
                <c:formatCode>General</c:formatCode>
                <c:ptCount val="213"/>
                <c:pt idx="0">
                  <c:v>9116.82</c:v>
                </c:pt>
                <c:pt idx="1">
                  <c:v>9071.15</c:v>
                </c:pt>
                <c:pt idx="2">
                  <c:v>8763.43</c:v>
                </c:pt>
                <c:pt idx="3">
                  <c:v>8759</c:v>
                </c:pt>
                <c:pt idx="4">
                  <c:v>8919.65</c:v>
                </c:pt>
                <c:pt idx="5">
                  <c:v>8530.64</c:v>
                </c:pt>
                <c:pt idx="6">
                  <c:v>8531.4699999999993</c:v>
                </c:pt>
                <c:pt idx="7">
                  <c:v>8707.85</c:v>
                </c:pt>
                <c:pt idx="8">
                  <c:v>8812.39</c:v>
                </c:pt>
                <c:pt idx="9">
                  <c:v>8785.2999999999993</c:v>
                </c:pt>
                <c:pt idx="10">
                  <c:v>9307.11</c:v>
                </c:pt>
                <c:pt idx="11">
                  <c:v>9666.11</c:v>
                </c:pt>
                <c:pt idx="12">
                  <c:v>9978.4500000000007</c:v>
                </c:pt>
                <c:pt idx="13">
                  <c:v>9673.07</c:v>
                </c:pt>
                <c:pt idx="14">
                  <c:v>9610.5</c:v>
                </c:pt>
                <c:pt idx="15">
                  <c:v>9610.5</c:v>
                </c:pt>
                <c:pt idx="16">
                  <c:v>9604.3799999999992</c:v>
                </c:pt>
                <c:pt idx="17">
                  <c:v>10185.27</c:v>
                </c:pt>
                <c:pt idx="18">
                  <c:v>9704</c:v>
                </c:pt>
                <c:pt idx="19">
                  <c:v>9933.99</c:v>
                </c:pt>
                <c:pt idx="20">
                  <c:v>9909.16</c:v>
                </c:pt>
                <c:pt idx="21">
                  <c:v>10370.48</c:v>
                </c:pt>
                <c:pt idx="22">
                  <c:v>10241.94</c:v>
                </c:pt>
                <c:pt idx="23">
                  <c:v>10354.35</c:v>
                </c:pt>
                <c:pt idx="24">
                  <c:v>10271.129999999999</c:v>
                </c:pt>
                <c:pt idx="25">
                  <c:v>9852.9599999999991</c:v>
                </c:pt>
                <c:pt idx="26">
                  <c:v>10167.879999999999</c:v>
                </c:pt>
                <c:pt idx="27">
                  <c:v>9907.49</c:v>
                </c:pt>
                <c:pt idx="28">
                  <c:v>9810.73</c:v>
                </c:pt>
                <c:pt idx="29">
                  <c:v>9757.52</c:v>
                </c:pt>
                <c:pt idx="30">
                  <c:v>9611.92</c:v>
                </c:pt>
                <c:pt idx="31">
                  <c:v>9165.5</c:v>
                </c:pt>
                <c:pt idx="32">
                  <c:v>9286.2900000000009</c:v>
                </c:pt>
                <c:pt idx="33">
                  <c:v>9325.99</c:v>
                </c:pt>
                <c:pt idx="34">
                  <c:v>9379.93</c:v>
                </c:pt>
                <c:pt idx="35">
                  <c:v>9333.5400000000009</c:v>
                </c:pt>
                <c:pt idx="36">
                  <c:v>9503.2999999999993</c:v>
                </c:pt>
                <c:pt idx="37">
                  <c:v>9283.6200000000008</c:v>
                </c:pt>
                <c:pt idx="38">
                  <c:v>9389.2999999999993</c:v>
                </c:pt>
                <c:pt idx="39">
                  <c:v>8893.7800000000007</c:v>
                </c:pt>
                <c:pt idx="40">
                  <c:v>8954.5499999999993</c:v>
                </c:pt>
                <c:pt idx="41">
                  <c:v>8329.52</c:v>
                </c:pt>
                <c:pt idx="42">
                  <c:v>8426.6200000000008</c:v>
                </c:pt>
                <c:pt idx="43">
                  <c:v>8389.27</c:v>
                </c:pt>
                <c:pt idx="44">
                  <c:v>8660.9500000000007</c:v>
                </c:pt>
                <c:pt idx="45">
                  <c:v>8723.7099999999991</c:v>
                </c:pt>
                <c:pt idx="46">
                  <c:v>8631.6299999999992</c:v>
                </c:pt>
                <c:pt idx="47">
                  <c:v>8702.65</c:v>
                </c:pt>
                <c:pt idx="48">
                  <c:v>8908.93</c:v>
                </c:pt>
                <c:pt idx="49">
                  <c:v>8898.19</c:v>
                </c:pt>
                <c:pt idx="50">
                  <c:v>8719.51</c:v>
                </c:pt>
                <c:pt idx="51">
                  <c:v>8815.06</c:v>
                </c:pt>
                <c:pt idx="52">
                  <c:v>8829.11</c:v>
                </c:pt>
                <c:pt idx="53">
                  <c:v>8107.89</c:v>
                </c:pt>
                <c:pt idx="54">
                  <c:v>8175.9</c:v>
                </c:pt>
                <c:pt idx="55">
                  <c:v>8022.1</c:v>
                </c:pt>
                <c:pt idx="56">
                  <c:v>8192.25</c:v>
                </c:pt>
                <c:pt idx="57">
                  <c:v>7816.44</c:v>
                </c:pt>
                <c:pt idx="58">
                  <c:v>8045.25</c:v>
                </c:pt>
                <c:pt idx="59">
                  <c:v>8162.71</c:v>
                </c:pt>
                <c:pt idx="60">
                  <c:v>7763.22</c:v>
                </c:pt>
                <c:pt idx="61">
                  <c:v>7353.24</c:v>
                </c:pt>
                <c:pt idx="62">
                  <c:v>7349.68</c:v>
                </c:pt>
                <c:pt idx="63">
                  <c:v>7330.79</c:v>
                </c:pt>
                <c:pt idx="64">
                  <c:v>6945.79</c:v>
                </c:pt>
                <c:pt idx="65">
                  <c:v>7176.37</c:v>
                </c:pt>
                <c:pt idx="66">
                  <c:v>7171.07</c:v>
                </c:pt>
                <c:pt idx="67">
                  <c:v>7218.72</c:v>
                </c:pt>
                <c:pt idx="68">
                  <c:v>7387.36</c:v>
                </c:pt>
                <c:pt idx="69">
                  <c:v>7302.03</c:v>
                </c:pt>
                <c:pt idx="70">
                  <c:v>7245.33</c:v>
                </c:pt>
                <c:pt idx="71">
                  <c:v>7195.41</c:v>
                </c:pt>
                <c:pt idx="72">
                  <c:v>7191.94</c:v>
                </c:pt>
                <c:pt idx="73">
                  <c:v>7256.66</c:v>
                </c:pt>
                <c:pt idx="74">
                  <c:v>7318.71</c:v>
                </c:pt>
                <c:pt idx="75">
                  <c:v>7513.96</c:v>
                </c:pt>
                <c:pt idx="76">
                  <c:v>7144.47</c:v>
                </c:pt>
                <c:pt idx="77">
                  <c:v>7192.96</c:v>
                </c:pt>
                <c:pt idx="78">
                  <c:v>7150.63</c:v>
                </c:pt>
                <c:pt idx="79">
                  <c:v>7286.79</c:v>
                </c:pt>
                <c:pt idx="80">
                  <c:v>6613.91</c:v>
                </c:pt>
                <c:pt idx="81">
                  <c:v>6879.44</c:v>
                </c:pt>
                <c:pt idx="82">
                  <c:v>7112.19</c:v>
                </c:pt>
                <c:pt idx="83">
                  <c:v>7065.92</c:v>
                </c:pt>
                <c:pt idx="84">
                  <c:v>7253.09</c:v>
                </c:pt>
                <c:pt idx="85">
                  <c:v>7189.39</c:v>
                </c:pt>
                <c:pt idx="86">
                  <c:v>7204.08</c:v>
                </c:pt>
                <c:pt idx="87">
                  <c:v>7222.02</c:v>
                </c:pt>
                <c:pt idx="88">
                  <c:v>7338.88</c:v>
                </c:pt>
                <c:pt idx="89">
                  <c:v>7522.76</c:v>
                </c:pt>
                <c:pt idx="90">
                  <c:v>7503.3</c:v>
                </c:pt>
                <c:pt idx="91">
                  <c:v>7547.74</c:v>
                </c:pt>
                <c:pt idx="92">
                  <c:v>7394.53</c:v>
                </c:pt>
                <c:pt idx="93">
                  <c:v>7195.29</c:v>
                </c:pt>
                <c:pt idx="94">
                  <c:v>7300.18</c:v>
                </c:pt>
                <c:pt idx="95">
                  <c:v>7308.44</c:v>
                </c:pt>
                <c:pt idx="96">
                  <c:v>7407.56</c:v>
                </c:pt>
                <c:pt idx="97">
                  <c:v>7557.86</c:v>
                </c:pt>
                <c:pt idx="98">
                  <c:v>7759.12</c:v>
                </c:pt>
                <c:pt idx="99">
                  <c:v>7434.14</c:v>
                </c:pt>
                <c:pt idx="100">
                  <c:v>7257.78</c:v>
                </c:pt>
                <c:pt idx="101">
                  <c:v>7164.98</c:v>
                </c:pt>
                <c:pt idx="102">
                  <c:v>7127.85</c:v>
                </c:pt>
                <c:pt idx="103">
                  <c:v>6914.95</c:v>
                </c:pt>
                <c:pt idx="104">
                  <c:v>7326.86</c:v>
                </c:pt>
                <c:pt idx="105">
                  <c:v>7287.5</c:v>
                </c:pt>
                <c:pt idx="106">
                  <c:v>7618.6</c:v>
                </c:pt>
                <c:pt idx="107">
                  <c:v>8083.95</c:v>
                </c:pt>
                <c:pt idx="108">
                  <c:v>8123.54</c:v>
                </c:pt>
                <c:pt idx="109">
                  <c:v>8175.59</c:v>
                </c:pt>
                <c:pt idx="110">
                  <c:v>8503.31</c:v>
                </c:pt>
                <c:pt idx="111">
                  <c:v>8484.65</c:v>
                </c:pt>
                <c:pt idx="112">
                  <c:v>8461.7800000000007</c:v>
                </c:pt>
                <c:pt idx="113">
                  <c:v>8632.32</c:v>
                </c:pt>
                <c:pt idx="114">
                  <c:v>8762.7199999999993</c:v>
                </c:pt>
                <c:pt idx="115">
                  <c:v>8807.33</c:v>
                </c:pt>
                <c:pt idx="116">
                  <c:v>8720.2099999999991</c:v>
                </c:pt>
                <c:pt idx="117">
                  <c:v>9035.84</c:v>
                </c:pt>
                <c:pt idx="118">
                  <c:v>8809.65</c:v>
                </c:pt>
                <c:pt idx="119">
                  <c:v>8766.5400000000009</c:v>
                </c:pt>
                <c:pt idx="120">
                  <c:v>9202.02</c:v>
                </c:pt>
                <c:pt idx="121">
                  <c:v>9343.2099999999991</c:v>
                </c:pt>
                <c:pt idx="122">
                  <c:v>9316.2999999999993</c:v>
                </c:pt>
                <c:pt idx="123">
                  <c:v>9415.33</c:v>
                </c:pt>
                <c:pt idx="124">
                  <c:v>9207.4</c:v>
                </c:pt>
                <c:pt idx="125">
                  <c:v>9306.17</c:v>
                </c:pt>
                <c:pt idx="126">
                  <c:v>9255.15</c:v>
                </c:pt>
                <c:pt idx="127">
                  <c:v>9153.4500000000007</c:v>
                </c:pt>
                <c:pt idx="128">
                  <c:v>9166.64</c:v>
                </c:pt>
                <c:pt idx="129">
                  <c:v>9432.4</c:v>
                </c:pt>
                <c:pt idx="130">
                  <c:v>9215.6</c:v>
                </c:pt>
                <c:pt idx="131">
                  <c:v>9548.41</c:v>
                </c:pt>
                <c:pt idx="132">
                  <c:v>9255.33</c:v>
                </c:pt>
                <c:pt idx="133">
                  <c:v>8666.32</c:v>
                </c:pt>
                <c:pt idx="134">
                  <c:v>7432.1</c:v>
                </c:pt>
                <c:pt idx="135">
                  <c:v>7475</c:v>
                </c:pt>
                <c:pt idx="136">
                  <c:v>8026.46</c:v>
                </c:pt>
                <c:pt idx="137">
                  <c:v>8219.5499999999993</c:v>
                </c:pt>
                <c:pt idx="138">
                  <c:v>8234.2900000000009</c:v>
                </c:pt>
                <c:pt idx="139">
                  <c:v>7961.79</c:v>
                </c:pt>
                <c:pt idx="140">
                  <c:v>7956.83</c:v>
                </c:pt>
                <c:pt idx="141">
                  <c:v>8076.61</c:v>
                </c:pt>
                <c:pt idx="142">
                  <c:v>7999</c:v>
                </c:pt>
                <c:pt idx="143">
                  <c:v>8162.15</c:v>
                </c:pt>
                <c:pt idx="144">
                  <c:v>8355.19</c:v>
                </c:pt>
                <c:pt idx="145">
                  <c:v>8284.5400000000009</c:v>
                </c:pt>
                <c:pt idx="146">
                  <c:v>8309.4</c:v>
                </c:pt>
                <c:pt idx="147">
                  <c:v>8269.85</c:v>
                </c:pt>
                <c:pt idx="148">
                  <c:v>8588.5400000000009</c:v>
                </c:pt>
                <c:pt idx="149">
                  <c:v>8590.2900000000009</c:v>
                </c:pt>
                <c:pt idx="150">
                  <c:v>8187.61</c:v>
                </c:pt>
                <c:pt idx="151">
                  <c:v>8209.4699999999993</c:v>
                </c:pt>
                <c:pt idx="152">
                  <c:v>7863.73</c:v>
                </c:pt>
                <c:pt idx="153">
                  <c:v>8148.55</c:v>
                </c:pt>
                <c:pt idx="154">
                  <c:v>8158.37</c:v>
                </c:pt>
                <c:pt idx="155">
                  <c:v>8241.39</c:v>
                </c:pt>
                <c:pt idx="156">
                  <c:v>8383.8700000000008</c:v>
                </c:pt>
                <c:pt idx="157">
                  <c:v>8323.57</c:v>
                </c:pt>
                <c:pt idx="158">
                  <c:v>8306.36</c:v>
                </c:pt>
                <c:pt idx="159">
                  <c:v>8055.05</c:v>
                </c:pt>
                <c:pt idx="160">
                  <c:v>8221.75</c:v>
                </c:pt>
                <c:pt idx="161">
                  <c:v>8196.6200000000008</c:v>
                </c:pt>
                <c:pt idx="162">
                  <c:v>8061.03</c:v>
                </c:pt>
                <c:pt idx="163">
                  <c:v>8437.0300000000007</c:v>
                </c:pt>
                <c:pt idx="164">
                  <c:v>8532.2900000000009</c:v>
                </c:pt>
                <c:pt idx="165">
                  <c:v>9691.6299999999992</c:v>
                </c:pt>
                <c:pt idx="166">
                  <c:v>10030.61</c:v>
                </c:pt>
                <c:pt idx="167">
                  <c:v>9980.44</c:v>
                </c:pt>
                <c:pt idx="168">
                  <c:v>10170.33</c:v>
                </c:pt>
                <c:pt idx="169">
                  <c:v>10276.879999999999</c:v>
                </c:pt>
                <c:pt idx="170">
                  <c:v>10159.200000000001</c:v>
                </c:pt>
                <c:pt idx="171">
                  <c:v>10192.280000000001</c:v>
                </c:pt>
                <c:pt idx="172">
                  <c:v>10265.290000000001</c:v>
                </c:pt>
                <c:pt idx="173">
                  <c:v>10311.61</c:v>
                </c:pt>
                <c:pt idx="174">
                  <c:v>10370.58</c:v>
                </c:pt>
                <c:pt idx="175">
                  <c:v>10371.4</c:v>
                </c:pt>
                <c:pt idx="176">
                  <c:v>10424.68</c:v>
                </c:pt>
                <c:pt idx="177">
                  <c:v>10162.27</c:v>
                </c:pt>
                <c:pt idx="178">
                  <c:v>10100.6</c:v>
                </c:pt>
                <c:pt idx="179">
                  <c:v>10317.42</c:v>
                </c:pt>
                <c:pt idx="180">
                  <c:v>10408.5</c:v>
                </c:pt>
                <c:pt idx="181">
                  <c:v>10499.96</c:v>
                </c:pt>
                <c:pt idx="182">
                  <c:v>10331.280000000001</c:v>
                </c:pt>
                <c:pt idx="183">
                  <c:v>10578.71</c:v>
                </c:pt>
                <c:pt idx="184">
                  <c:v>10583.9</c:v>
                </c:pt>
                <c:pt idx="185">
                  <c:v>10627.31</c:v>
                </c:pt>
                <c:pt idx="186">
                  <c:v>10388.4</c:v>
                </c:pt>
                <c:pt idx="187">
                  <c:v>9768.58</c:v>
                </c:pt>
                <c:pt idx="188">
                  <c:v>9608.43</c:v>
                </c:pt>
                <c:pt idx="189">
                  <c:v>9584.3700000000008</c:v>
                </c:pt>
                <c:pt idx="190">
                  <c:v>9487.34</c:v>
                </c:pt>
                <c:pt idx="191">
                  <c:v>9723.44</c:v>
                </c:pt>
                <c:pt idx="192">
                  <c:v>10173.17</c:v>
                </c:pt>
                <c:pt idx="193">
                  <c:v>10362.48</c:v>
                </c:pt>
                <c:pt idx="194">
                  <c:v>10142.81</c:v>
                </c:pt>
                <c:pt idx="195">
                  <c:v>10156.82</c:v>
                </c:pt>
                <c:pt idx="196">
                  <c:v>10419.92</c:v>
                </c:pt>
                <c:pt idx="197">
                  <c:v>10109.67</c:v>
                </c:pt>
                <c:pt idx="198">
                  <c:v>10129.57</c:v>
                </c:pt>
                <c:pt idx="199">
                  <c:v>10756.96</c:v>
                </c:pt>
                <c:pt idx="200">
                  <c:v>10918.79</c:v>
                </c:pt>
                <c:pt idx="201">
                  <c:v>10321.530000000001</c:v>
                </c:pt>
                <c:pt idx="202">
                  <c:v>10213.379999999999</c:v>
                </c:pt>
                <c:pt idx="203">
                  <c:v>10358.69</c:v>
                </c:pt>
                <c:pt idx="204">
                  <c:v>10301.61</c:v>
                </c:pt>
                <c:pt idx="205">
                  <c:v>10019.64</c:v>
                </c:pt>
                <c:pt idx="206">
                  <c:v>10858.36</c:v>
                </c:pt>
                <c:pt idx="207">
                  <c:v>11384.48</c:v>
                </c:pt>
                <c:pt idx="208">
                  <c:v>11568.85</c:v>
                </c:pt>
                <c:pt idx="209">
                  <c:v>11298.45</c:v>
                </c:pt>
                <c:pt idx="210">
                  <c:v>11870.5</c:v>
                </c:pt>
                <c:pt idx="211">
                  <c:v>11993.75</c:v>
                </c:pt>
                <c:pt idx="212">
                  <c:v>11966.98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4-4C40-972C-C7A3E164E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026048"/>
        <c:axId val="2056971440"/>
      </c:lineChart>
      <c:dateAx>
        <c:axId val="2050787840"/>
        <c:scaling>
          <c:orientation val="minMax"/>
          <c:max val="43896"/>
          <c:min val="43678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DATE (UTC)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d/m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9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2056966864"/>
        <c:crosses val="autoZero"/>
        <c:auto val="1"/>
        <c:lblOffset val="100"/>
        <c:baseTimeUnit val="days"/>
        <c:majorUnit val="1"/>
        <c:majorTimeUnit val="months"/>
      </c:dateAx>
      <c:valAx>
        <c:axId val="205696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USD VALUE OF PLUSTOKEN DISTRIBUTIONS (MILLIONS)</a:t>
                </a:r>
              </a:p>
            </c:rich>
          </c:tx>
          <c:layout>
            <c:manualLayout>
              <c:xMode val="edge"/>
              <c:yMode val="edge"/>
              <c:x val="3.845993434171624E-2"/>
              <c:y val="0.25143681780451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95000"/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2050787840"/>
        <c:crosses val="autoZero"/>
        <c:crossBetween val="between"/>
      </c:valAx>
      <c:valAx>
        <c:axId val="2056971440"/>
        <c:scaling>
          <c:orientation val="minMax"/>
          <c:min val="6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/>
                  <a:t>BLX Close (USD)</a:t>
                </a:r>
              </a:p>
            </c:rich>
          </c:tx>
          <c:layout>
            <c:manualLayout>
              <c:xMode val="edge"/>
              <c:yMode val="edge"/>
              <c:x val="0.97004909159800756"/>
              <c:y val="0.3753941024699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1982026048"/>
        <c:crosses val="max"/>
        <c:crossBetween val="between"/>
      </c:valAx>
      <c:dateAx>
        <c:axId val="198202604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2056971440"/>
        <c:crosses val="autoZero"/>
        <c:auto val="1"/>
        <c:lblOffset val="100"/>
        <c:baseTimeUnit val="days"/>
      </c:date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bg1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38375" y="10820400"/>
    <xdr:ext cx="8660423" cy="6271846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E571DE-FC7D-4861-9337-BB42900E55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458575" y="10848975"/>
    <xdr:ext cx="9039225" cy="6271846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2CC7FF6-437E-45D1-9ACB-AA272C9BF1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0.7399</cdr:x>
      <cdr:y>0.17404</cdr:y>
    </cdr:from>
    <cdr:to>
      <cdr:x>0.84535</cdr:x>
      <cdr:y>0.32348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511601C-73AB-496D-8371-BCD4BC333AA9}"/>
            </a:ext>
          </a:extLst>
        </cdr:cNvPr>
        <cdr:cNvSpPr txBox="1"/>
      </cdr:nvSpPr>
      <cdr:spPr>
        <a:xfrm xmlns:a="http://schemas.openxmlformats.org/drawingml/2006/main">
          <a:off x="6415897" y="1096274"/>
          <a:ext cx="914400" cy="94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0.10179</cdr:x>
      <cdr:y>0.06226</cdr:y>
    </cdr:from>
    <cdr:to>
      <cdr:x>0.36585</cdr:x>
      <cdr:y>0.1215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3703EBC-210B-4461-A4A7-B6CF1F103288}"/>
            </a:ext>
          </a:extLst>
        </cdr:cNvPr>
        <cdr:cNvSpPr txBox="1"/>
      </cdr:nvSpPr>
      <cdr:spPr>
        <a:xfrm xmlns:a="http://schemas.openxmlformats.org/drawingml/2006/main">
          <a:off x="881502" y="390507"/>
          <a:ext cx="2286872" cy="371493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i="0" baseline="0">
              <a:solidFill>
                <a:srgbClr val="FF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O</a:t>
          </a:r>
          <a:r>
            <a:rPr lang="en-US" sz="900" i="0" baseline="0">
              <a:solidFill>
                <a:srgbClr val="34D4BC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X</a:t>
          </a:r>
          <a:r>
            <a:rPr lang="en-US" sz="900" i="0" baseline="0">
              <a:solidFill>
                <a:srgbClr val="9839AA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T </a:t>
          </a:r>
          <a:r>
            <a:rPr lang="en-US" sz="900" i="0" baseline="0">
              <a:solidFill>
                <a:schemeClr val="bg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Research</a:t>
          </a:r>
          <a:r>
            <a:rPr lang="en-US" sz="900" i="0" baseline="0">
              <a:solidFill>
                <a:srgbClr val="9839AA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endParaRPr lang="en-US" sz="900" i="0">
            <a:solidFill>
              <a:srgbClr val="9839AA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 xmlns:a="http://schemas.openxmlformats.org/drawingml/2006/main">
          <a:r>
            <a:rPr lang="en-US" sz="900" i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Data</a:t>
          </a:r>
          <a:r>
            <a:rPr lang="en-US" sz="900" i="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Courtesy of TradingView and </a:t>
          </a:r>
          <a:r>
            <a:rPr lang="en-US" sz="900" i="0" baseline="0">
              <a:solidFill>
                <a:srgbClr val="FC5424"/>
              </a:solidFill>
              <a:latin typeface="Calibri" panose="020F0502020204030204" pitchFamily="34" charset="0"/>
              <a:cs typeface="Calibri" panose="020F0502020204030204" pitchFamily="34" charset="0"/>
            </a:rPr>
            <a:t>O</a:t>
          </a:r>
          <a:r>
            <a:rPr lang="en-US" sz="900" i="0" baseline="0">
              <a:solidFill>
                <a:srgbClr val="34D4BC"/>
              </a:solidFill>
              <a:latin typeface="Calibri" panose="020F0502020204030204" pitchFamily="34" charset="0"/>
              <a:cs typeface="Calibri" panose="020F0502020204030204" pitchFamily="34" charset="0"/>
            </a:rPr>
            <a:t>X</a:t>
          </a:r>
          <a:r>
            <a:rPr lang="en-US" sz="900" i="0" baseline="0">
              <a:solidFill>
                <a:srgbClr val="9839AA"/>
              </a:solidFill>
              <a:latin typeface="Calibri" panose="020F0502020204030204" pitchFamily="34" charset="0"/>
              <a:cs typeface="Calibri" panose="020F0502020204030204" pitchFamily="34" charset="0"/>
            </a:rPr>
            <a:t>T</a:t>
          </a:r>
          <a:r>
            <a:rPr lang="en-US" sz="900" i="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.me</a:t>
          </a:r>
          <a:endParaRPr lang="en-US" sz="900" i="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0.60518</cdr:x>
      <cdr:y>0.17689</cdr:y>
    </cdr:from>
    <cdr:to>
      <cdr:x>0.75959</cdr:x>
      <cdr:y>0.26248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B87E8C58-ADBE-4B60-AF8C-7161C81CBD43}"/>
            </a:ext>
          </a:extLst>
        </cdr:cNvPr>
        <cdr:cNvSpPr txBox="1"/>
      </cdr:nvSpPr>
      <cdr:spPr>
        <a:xfrm xmlns:a="http://schemas.openxmlformats.org/drawingml/2006/main">
          <a:off x="5247736" y="1114245"/>
          <a:ext cx="1338891" cy="539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0.7399</cdr:x>
      <cdr:y>0.17404</cdr:y>
    </cdr:from>
    <cdr:to>
      <cdr:x>0.84535</cdr:x>
      <cdr:y>0.32348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511601C-73AB-496D-8371-BCD4BC333AA9}"/>
            </a:ext>
          </a:extLst>
        </cdr:cNvPr>
        <cdr:cNvSpPr txBox="1"/>
      </cdr:nvSpPr>
      <cdr:spPr>
        <a:xfrm xmlns:a="http://schemas.openxmlformats.org/drawingml/2006/main">
          <a:off x="6415897" y="1096274"/>
          <a:ext cx="914400" cy="94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0.59011</cdr:x>
      <cdr:y>0.05467</cdr:y>
    </cdr:from>
    <cdr:to>
      <cdr:x>0.83667</cdr:x>
      <cdr:y>0.12254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3703EBC-210B-4461-A4A7-B6CF1F103288}"/>
            </a:ext>
          </a:extLst>
        </cdr:cNvPr>
        <cdr:cNvSpPr txBox="1"/>
      </cdr:nvSpPr>
      <cdr:spPr>
        <a:xfrm xmlns:a="http://schemas.openxmlformats.org/drawingml/2006/main">
          <a:off x="5334137" y="342882"/>
          <a:ext cx="2228713" cy="42567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i="0" baseline="0">
              <a:solidFill>
                <a:srgbClr val="FF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O</a:t>
          </a:r>
          <a:r>
            <a:rPr lang="en-US" sz="900" i="0" baseline="0">
              <a:solidFill>
                <a:srgbClr val="34D4BC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X</a:t>
          </a:r>
          <a:r>
            <a:rPr lang="en-US" sz="900" i="0" baseline="0">
              <a:solidFill>
                <a:srgbClr val="9839AA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T </a:t>
          </a:r>
          <a:r>
            <a:rPr lang="en-US" sz="900" i="0" baseline="0">
              <a:solidFill>
                <a:schemeClr val="bg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Research</a:t>
          </a:r>
          <a:r>
            <a:rPr lang="en-US" sz="900" i="0" baseline="0">
              <a:solidFill>
                <a:srgbClr val="9839AA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</a:t>
          </a:r>
          <a:endParaRPr lang="en-US" sz="900" i="0">
            <a:solidFill>
              <a:srgbClr val="9839AA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 xmlns:a="http://schemas.openxmlformats.org/drawingml/2006/main">
          <a:r>
            <a:rPr lang="en-US" sz="900" i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Data</a:t>
          </a:r>
          <a:r>
            <a:rPr lang="en-US" sz="900" i="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Courtesy of TradingView and </a:t>
          </a:r>
          <a:r>
            <a:rPr lang="en-US" sz="900" i="0" baseline="0">
              <a:solidFill>
                <a:srgbClr val="FC5424"/>
              </a:solidFill>
              <a:latin typeface="Calibri" panose="020F0502020204030204" pitchFamily="34" charset="0"/>
              <a:cs typeface="Calibri" panose="020F0502020204030204" pitchFamily="34" charset="0"/>
            </a:rPr>
            <a:t>O</a:t>
          </a:r>
          <a:r>
            <a:rPr lang="en-US" sz="900" i="0" baseline="0">
              <a:solidFill>
                <a:srgbClr val="34D4BC"/>
              </a:solidFill>
              <a:latin typeface="Calibri" panose="020F0502020204030204" pitchFamily="34" charset="0"/>
              <a:cs typeface="Calibri" panose="020F0502020204030204" pitchFamily="34" charset="0"/>
            </a:rPr>
            <a:t>X</a:t>
          </a:r>
          <a:r>
            <a:rPr lang="en-US" sz="900" i="0" baseline="0">
              <a:solidFill>
                <a:srgbClr val="9839AA"/>
              </a:solidFill>
              <a:latin typeface="Calibri" panose="020F0502020204030204" pitchFamily="34" charset="0"/>
              <a:cs typeface="Calibri" panose="020F0502020204030204" pitchFamily="34" charset="0"/>
            </a:rPr>
            <a:t>T</a:t>
          </a:r>
          <a:r>
            <a:rPr lang="en-US" sz="900" i="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.me</a:t>
          </a:r>
          <a:endParaRPr lang="en-US" sz="900" i="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0.60518</cdr:x>
      <cdr:y>0.17689</cdr:y>
    </cdr:from>
    <cdr:to>
      <cdr:x>0.75959</cdr:x>
      <cdr:y>0.26248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B87E8C58-ADBE-4B60-AF8C-7161C81CBD43}"/>
            </a:ext>
          </a:extLst>
        </cdr:cNvPr>
        <cdr:cNvSpPr txBox="1"/>
      </cdr:nvSpPr>
      <cdr:spPr>
        <a:xfrm xmlns:a="http://schemas.openxmlformats.org/drawingml/2006/main">
          <a:off x="5247736" y="1114245"/>
          <a:ext cx="1338891" cy="539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xt.me/address/176n2wLZ2J1wrRbN6bFVYyJXjWN4H5Nuuz" TargetMode="External"/><Relationship Id="rId13" Type="http://schemas.openxmlformats.org/officeDocument/2006/relationships/hyperlink" Target="https://oxt.me/address/1Fa2W871bMJD5Ja1ZUpKqrqVetqmy2MEc7" TargetMode="External"/><Relationship Id="rId3" Type="http://schemas.openxmlformats.org/officeDocument/2006/relationships/hyperlink" Target="https://oxt.me/transaction/tiid/2296180858" TargetMode="External"/><Relationship Id="rId7" Type="http://schemas.openxmlformats.org/officeDocument/2006/relationships/hyperlink" Target="https://oxt.me/address/13KasFCnTemY9FifS8MovtfFLj9kqqcfEU" TargetMode="External"/><Relationship Id="rId12" Type="http://schemas.openxmlformats.org/officeDocument/2006/relationships/hyperlink" Target="https://oxt.me/address/1QAWMaLUxXThrU9rw3Q9zwmoGgVEnH57ho" TargetMode="External"/><Relationship Id="rId2" Type="http://schemas.openxmlformats.org/officeDocument/2006/relationships/hyperlink" Target="https://oxt.me/address/tiid/2391620984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oxt.me/address/15pyB7yDpuxENYiAjFf5SWFrdqoH5ijMy2" TargetMode="External"/><Relationship Id="rId6" Type="http://schemas.openxmlformats.org/officeDocument/2006/relationships/hyperlink" Target="https://oxt.me/address/1DJnQX6zmf9LA4H7LiHGdw84qeAgQ27oYr" TargetMode="External"/><Relationship Id="rId11" Type="http://schemas.openxmlformats.org/officeDocument/2006/relationships/hyperlink" Target="https://oxt.me/address/1M9hT9dq9gDUxRm39gCELtDmkThpDqXQT7" TargetMode="External"/><Relationship Id="rId5" Type="http://schemas.openxmlformats.org/officeDocument/2006/relationships/hyperlink" Target="https://oxt.me/address/1LUSHJ4ZnppwbWnSSF1rEMqpCTz2iV6EiM" TargetMode="External"/><Relationship Id="rId15" Type="http://schemas.openxmlformats.org/officeDocument/2006/relationships/hyperlink" Target="https://oxt.me/address/1C4PZbJLcswHBVLDjNoDCGXJ4YjGrc8ZX8" TargetMode="External"/><Relationship Id="rId10" Type="http://schemas.openxmlformats.org/officeDocument/2006/relationships/hyperlink" Target="https://oxt.me/address/3KYAUymLWLVocgE2wdNEGCDmrxVTZrAp4N" TargetMode="External"/><Relationship Id="rId4" Type="http://schemas.openxmlformats.org/officeDocument/2006/relationships/hyperlink" Target="https://oxt.me/address/19m9Ab7Vj2MJv8DfesM2fGPxD2yV3u1xQA" TargetMode="External"/><Relationship Id="rId9" Type="http://schemas.openxmlformats.org/officeDocument/2006/relationships/hyperlink" Target="https://oxt.me/address/1MphtpYJv5E7MmL6y7Ys7doD2cN5w5Hyr3" TargetMode="External"/><Relationship Id="rId14" Type="http://schemas.openxmlformats.org/officeDocument/2006/relationships/hyperlink" Target="https://oxt.me/address/144Gmtziqags1YMviKAf856nLUG36vURw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P1003"/>
  <sheetViews>
    <sheetView tabSelected="1" topLeftCell="A58" workbookViewId="0">
      <selection activeCell="G78" sqref="G78"/>
    </sheetView>
  </sheetViews>
  <sheetFormatPr defaultColWidth="14.42578125" defaultRowHeight="15" customHeight="1" x14ac:dyDescent="0.2"/>
  <cols>
    <col min="1" max="1" width="9.140625" style="96" customWidth="1"/>
    <col min="2" max="2" width="18.7109375" style="96" customWidth="1"/>
    <col min="3" max="3" width="22.7109375" style="96" customWidth="1"/>
    <col min="4" max="4" width="44.28515625" style="96" customWidth="1"/>
    <col min="5" max="5" width="27.85546875" style="96" customWidth="1"/>
    <col min="6" max="6" width="22.7109375" style="96" bestFit="1" customWidth="1"/>
    <col min="7" max="7" width="18.5703125" style="96" customWidth="1"/>
    <col min="8" max="8" width="23.140625" style="96" customWidth="1"/>
    <col min="9" max="9" width="13" style="96" customWidth="1"/>
    <col min="10" max="10" width="10.5703125" style="96" customWidth="1"/>
    <col min="11" max="12" width="4.85546875" style="96" customWidth="1"/>
    <col min="13" max="13" width="15.140625" style="96" customWidth="1"/>
    <col min="14" max="14" width="27.7109375" style="96" customWidth="1"/>
    <col min="15" max="15" width="57" style="96" customWidth="1"/>
    <col min="16" max="16" width="15.42578125" style="96" customWidth="1"/>
    <col min="17" max="26" width="12.5703125" style="96" customWidth="1"/>
    <col min="27" max="16384" width="14.42578125" style="96"/>
  </cols>
  <sheetData>
    <row r="1" spans="2:16" ht="12.75" x14ac:dyDescent="0.2">
      <c r="P1" s="97"/>
    </row>
    <row r="2" spans="2:16" ht="12.75" x14ac:dyDescent="0.2">
      <c r="B2" s="151" t="s">
        <v>3</v>
      </c>
      <c r="C2" s="152"/>
      <c r="D2" s="152"/>
      <c r="E2" s="152"/>
      <c r="F2" s="152"/>
      <c r="G2" s="152"/>
      <c r="H2" s="98"/>
      <c r="P2" s="97"/>
    </row>
    <row r="3" spans="2:16" ht="12.75" x14ac:dyDescent="0.2">
      <c r="I3" s="153"/>
      <c r="J3" s="152"/>
      <c r="P3" s="97"/>
    </row>
    <row r="4" spans="2:16" ht="12.75" x14ac:dyDescent="0.2">
      <c r="B4" s="154" t="s">
        <v>4</v>
      </c>
      <c r="C4" s="155"/>
      <c r="D4" s="99" t="s">
        <v>5</v>
      </c>
      <c r="E4" s="99" t="s">
        <v>6</v>
      </c>
      <c r="F4" s="99" t="s">
        <v>7</v>
      </c>
      <c r="G4" s="100" t="s">
        <v>8</v>
      </c>
      <c r="H4" s="101"/>
      <c r="I4" s="101"/>
      <c r="J4" s="101"/>
      <c r="K4" s="102"/>
    </row>
    <row r="5" spans="2:16" ht="12.75" x14ac:dyDescent="0.2">
      <c r="B5" s="156" t="s">
        <v>9</v>
      </c>
      <c r="C5" s="157"/>
      <c r="D5" s="103" t="s">
        <v>10</v>
      </c>
      <c r="E5" s="104">
        <v>2466</v>
      </c>
      <c r="F5" s="104">
        <v>0</v>
      </c>
      <c r="G5" s="104">
        <f t="shared" ref="G5:G33" si="0">SUM(E5:F5)</f>
        <v>2466</v>
      </c>
      <c r="H5" s="105"/>
      <c r="I5" s="106"/>
      <c r="J5" s="106"/>
      <c r="K5" s="97"/>
      <c r="L5" s="107"/>
    </row>
    <row r="6" spans="2:16" ht="12.75" x14ac:dyDescent="0.2">
      <c r="B6" s="158"/>
      <c r="C6" s="159"/>
      <c r="D6" s="103" t="s">
        <v>11</v>
      </c>
      <c r="E6" s="104">
        <v>2460</v>
      </c>
      <c r="F6" s="104">
        <v>0</v>
      </c>
      <c r="G6" s="104">
        <f t="shared" si="0"/>
        <v>2460</v>
      </c>
      <c r="H6" s="105"/>
      <c r="I6" s="106"/>
      <c r="J6" s="106"/>
      <c r="K6" s="97"/>
      <c r="L6" s="107"/>
    </row>
    <row r="7" spans="2:16" ht="12.75" x14ac:dyDescent="0.2">
      <c r="B7" s="158"/>
      <c r="C7" s="159"/>
      <c r="D7" s="108" t="s">
        <v>12</v>
      </c>
      <c r="E7" s="104">
        <v>6000</v>
      </c>
      <c r="F7" s="104">
        <v>0</v>
      </c>
      <c r="G7" s="104">
        <f t="shared" si="0"/>
        <v>6000</v>
      </c>
      <c r="H7" s="105"/>
      <c r="I7" s="106"/>
      <c r="J7" s="106"/>
      <c r="K7" s="97"/>
      <c r="L7" s="107"/>
      <c r="P7" s="163"/>
    </row>
    <row r="8" spans="2:16" ht="12.75" x14ac:dyDescent="0.2">
      <c r="B8" s="158"/>
      <c r="C8" s="159"/>
      <c r="D8" s="108" t="s">
        <v>13</v>
      </c>
      <c r="E8" s="104">
        <v>630</v>
      </c>
      <c r="F8" s="104">
        <v>0</v>
      </c>
      <c r="G8" s="104">
        <f t="shared" si="0"/>
        <v>630</v>
      </c>
      <c r="H8" s="105"/>
      <c r="I8" s="106"/>
      <c r="J8" s="106"/>
      <c r="K8" s="97"/>
      <c r="L8" s="107"/>
      <c r="P8" s="152"/>
    </row>
    <row r="9" spans="2:16" ht="12.75" x14ac:dyDescent="0.2">
      <c r="B9" s="158"/>
      <c r="C9" s="159"/>
      <c r="D9" s="108" t="s">
        <v>14</v>
      </c>
      <c r="E9" s="104">
        <v>5776</v>
      </c>
      <c r="F9" s="104">
        <v>0</v>
      </c>
      <c r="G9" s="104">
        <f t="shared" si="0"/>
        <v>5776</v>
      </c>
      <c r="H9" s="105"/>
      <c r="I9" s="106"/>
      <c r="J9" s="106"/>
      <c r="K9" s="97"/>
      <c r="L9" s="107"/>
      <c r="P9" s="152"/>
    </row>
    <row r="10" spans="2:16" ht="12.75" x14ac:dyDescent="0.2">
      <c r="B10" s="158"/>
      <c r="C10" s="159"/>
      <c r="D10" s="103" t="s">
        <v>15</v>
      </c>
      <c r="E10" s="104">
        <v>2453</v>
      </c>
      <c r="F10" s="104">
        <v>0</v>
      </c>
      <c r="G10" s="104">
        <f t="shared" si="0"/>
        <v>2453</v>
      </c>
      <c r="H10" s="105"/>
      <c r="I10" s="109"/>
      <c r="J10" s="106"/>
      <c r="K10" s="97"/>
      <c r="L10" s="107"/>
      <c r="P10" s="152"/>
    </row>
    <row r="11" spans="2:16" ht="12.75" x14ac:dyDescent="0.2">
      <c r="B11" s="158"/>
      <c r="C11" s="159"/>
      <c r="D11" s="103" t="s">
        <v>16</v>
      </c>
      <c r="E11" s="104">
        <v>500</v>
      </c>
      <c r="F11" s="104">
        <v>0</v>
      </c>
      <c r="G11" s="104">
        <f t="shared" si="0"/>
        <v>500</v>
      </c>
      <c r="H11" s="105"/>
      <c r="I11" s="106"/>
      <c r="J11" s="106"/>
      <c r="K11" s="97"/>
      <c r="L11" s="107"/>
    </row>
    <row r="12" spans="2:16" ht="12.75" x14ac:dyDescent="0.2">
      <c r="B12" s="158"/>
      <c r="C12" s="159"/>
      <c r="D12" s="110" t="s">
        <v>2</v>
      </c>
      <c r="E12" s="111">
        <f>33282+424</f>
        <v>33706</v>
      </c>
      <c r="F12" s="111">
        <v>0</v>
      </c>
      <c r="G12" s="111">
        <f t="shared" si="0"/>
        <v>33706</v>
      </c>
      <c r="H12" s="105"/>
      <c r="I12" s="106"/>
      <c r="J12" s="106"/>
      <c r="K12" s="97"/>
      <c r="L12" s="107"/>
    </row>
    <row r="13" spans="2:16" ht="12.75" x14ac:dyDescent="0.2">
      <c r="B13" s="160"/>
      <c r="C13" s="161"/>
      <c r="D13" s="110" t="s">
        <v>1</v>
      </c>
      <c r="E13" s="111">
        <f>24470+12000</f>
        <v>36470</v>
      </c>
      <c r="F13" s="111">
        <v>0</v>
      </c>
      <c r="G13" s="111">
        <f t="shared" si="0"/>
        <v>36470</v>
      </c>
      <c r="H13" s="105"/>
      <c r="I13" s="107"/>
      <c r="J13" s="106"/>
      <c r="K13" s="97"/>
    </row>
    <row r="14" spans="2:16" ht="15.75" customHeight="1" x14ac:dyDescent="0.2">
      <c r="B14" s="156" t="s">
        <v>17</v>
      </c>
      <c r="C14" s="157"/>
      <c r="D14" s="103" t="s">
        <v>18</v>
      </c>
      <c r="E14" s="104">
        <v>0</v>
      </c>
      <c r="F14" s="104">
        <v>2730</v>
      </c>
      <c r="G14" s="104">
        <f t="shared" si="0"/>
        <v>2730</v>
      </c>
      <c r="H14" s="105"/>
      <c r="I14" s="112" t="s">
        <v>19</v>
      </c>
      <c r="J14" s="106"/>
      <c r="K14" s="113"/>
    </row>
    <row r="15" spans="2:16" ht="15.75" customHeight="1" x14ac:dyDescent="0.2">
      <c r="B15" s="158"/>
      <c r="C15" s="159"/>
      <c r="D15" s="103" t="s">
        <v>20</v>
      </c>
      <c r="E15" s="104">
        <v>0</v>
      </c>
      <c r="F15" s="104">
        <v>2310</v>
      </c>
      <c r="G15" s="104">
        <f t="shared" si="0"/>
        <v>2310</v>
      </c>
      <c r="H15" s="105"/>
      <c r="I15" s="112" t="s">
        <v>21</v>
      </c>
      <c r="J15" s="106"/>
      <c r="K15" s="113"/>
      <c r="P15" s="97"/>
    </row>
    <row r="16" spans="2:16" ht="15.75" customHeight="1" x14ac:dyDescent="0.2">
      <c r="B16" s="158"/>
      <c r="C16" s="159"/>
      <c r="D16" s="103" t="s">
        <v>22</v>
      </c>
      <c r="E16" s="104">
        <v>0</v>
      </c>
      <c r="F16" s="104">
        <v>1995</v>
      </c>
      <c r="G16" s="104">
        <f t="shared" si="0"/>
        <v>1995</v>
      </c>
      <c r="H16" s="105"/>
      <c r="I16" s="112" t="s">
        <v>23</v>
      </c>
      <c r="J16" s="106"/>
      <c r="K16" s="113"/>
      <c r="P16" s="97"/>
    </row>
    <row r="17" spans="2:16" ht="15.75" customHeight="1" x14ac:dyDescent="0.2">
      <c r="B17" s="158"/>
      <c r="C17" s="159"/>
      <c r="D17" s="103" t="s">
        <v>24</v>
      </c>
      <c r="E17" s="104">
        <v>0</v>
      </c>
      <c r="F17" s="104">
        <v>2240</v>
      </c>
      <c r="G17" s="104">
        <f t="shared" si="0"/>
        <v>2240</v>
      </c>
      <c r="H17" s="105"/>
      <c r="I17" s="112" t="s">
        <v>25</v>
      </c>
      <c r="J17" s="106"/>
      <c r="K17" s="113"/>
      <c r="P17" s="97"/>
    </row>
    <row r="18" spans="2:16" ht="15.75" customHeight="1" x14ac:dyDescent="0.2">
      <c r="B18" s="158"/>
      <c r="C18" s="159"/>
      <c r="D18" s="103" t="s">
        <v>26</v>
      </c>
      <c r="E18" s="104">
        <v>0</v>
      </c>
      <c r="F18" s="104">
        <v>1000</v>
      </c>
      <c r="G18" s="104">
        <f t="shared" si="0"/>
        <v>1000</v>
      </c>
      <c r="H18" s="105"/>
      <c r="I18" s="112" t="s">
        <v>27</v>
      </c>
      <c r="J18" s="106"/>
      <c r="K18" s="113"/>
      <c r="P18" s="97"/>
    </row>
    <row r="19" spans="2:16" ht="15.75" customHeight="1" x14ac:dyDescent="0.2">
      <c r="B19" s="158"/>
      <c r="C19" s="159"/>
      <c r="D19" s="103" t="s">
        <v>28</v>
      </c>
      <c r="E19" s="104">
        <v>0</v>
      </c>
      <c r="F19" s="104">
        <v>3077</v>
      </c>
      <c r="G19" s="104">
        <f t="shared" si="0"/>
        <v>3077</v>
      </c>
      <c r="H19" s="105"/>
      <c r="I19" s="112" t="s">
        <v>29</v>
      </c>
      <c r="J19" s="114"/>
      <c r="K19" s="113"/>
      <c r="P19" s="97"/>
    </row>
    <row r="20" spans="2:16" ht="16.5" customHeight="1" x14ac:dyDescent="0.2">
      <c r="B20" s="158"/>
      <c r="C20" s="159"/>
      <c r="D20" s="103" t="s">
        <v>30</v>
      </c>
      <c r="E20" s="104">
        <v>0</v>
      </c>
      <c r="F20" s="104">
        <v>1870</v>
      </c>
      <c r="G20" s="104">
        <f t="shared" si="0"/>
        <v>1870</v>
      </c>
      <c r="H20" s="105"/>
      <c r="I20" s="112" t="s">
        <v>31</v>
      </c>
      <c r="J20" s="106"/>
      <c r="K20" s="113"/>
      <c r="P20" s="97"/>
    </row>
    <row r="21" spans="2:16" ht="15.75" customHeight="1" x14ac:dyDescent="0.2">
      <c r="B21" s="158"/>
      <c r="C21" s="159"/>
      <c r="D21" s="103" t="s">
        <v>32</v>
      </c>
      <c r="E21" s="104">
        <v>0</v>
      </c>
      <c r="F21" s="104">
        <v>2468</v>
      </c>
      <c r="G21" s="104">
        <f t="shared" si="0"/>
        <v>2468</v>
      </c>
      <c r="H21" s="105"/>
      <c r="I21" s="112" t="s">
        <v>33</v>
      </c>
      <c r="J21" s="106"/>
      <c r="K21" s="113"/>
      <c r="P21" s="97"/>
    </row>
    <row r="22" spans="2:16" ht="15.75" customHeight="1" x14ac:dyDescent="0.2">
      <c r="B22" s="158"/>
      <c r="C22" s="159"/>
      <c r="D22" s="103" t="s">
        <v>35</v>
      </c>
      <c r="E22" s="104">
        <v>0</v>
      </c>
      <c r="F22" s="104">
        <v>1865</v>
      </c>
      <c r="G22" s="104">
        <f t="shared" si="0"/>
        <v>1865</v>
      </c>
      <c r="H22" s="105"/>
      <c r="I22" s="112" t="s">
        <v>36</v>
      </c>
      <c r="J22" s="106"/>
      <c r="K22" s="113"/>
      <c r="P22" s="97"/>
    </row>
    <row r="23" spans="2:16" ht="15.75" customHeight="1" x14ac:dyDescent="0.2">
      <c r="B23" s="158"/>
      <c r="C23" s="159"/>
      <c r="D23" s="108" t="s">
        <v>37</v>
      </c>
      <c r="E23" s="104">
        <v>15000</v>
      </c>
      <c r="F23" s="104">
        <v>0</v>
      </c>
      <c r="G23" s="104">
        <f t="shared" si="0"/>
        <v>15000</v>
      </c>
      <c r="H23" s="105"/>
      <c r="J23" s="106"/>
      <c r="P23" s="97"/>
    </row>
    <row r="24" spans="2:16" ht="15.75" customHeight="1" x14ac:dyDescent="0.2">
      <c r="B24" s="158"/>
      <c r="C24" s="159"/>
      <c r="D24" s="108" t="s">
        <v>38</v>
      </c>
      <c r="E24" s="104">
        <v>22923</v>
      </c>
      <c r="F24" s="104">
        <v>0</v>
      </c>
      <c r="G24" s="104">
        <f t="shared" si="0"/>
        <v>22923</v>
      </c>
      <c r="H24" s="105"/>
      <c r="J24" s="106"/>
      <c r="P24" s="97"/>
    </row>
    <row r="25" spans="2:16" ht="15.75" customHeight="1" x14ac:dyDescent="0.2">
      <c r="B25" s="160"/>
      <c r="C25" s="161"/>
      <c r="D25" s="103" t="s">
        <v>39</v>
      </c>
      <c r="E25" s="104">
        <f>2759-600</f>
        <v>2159</v>
      </c>
      <c r="F25" s="104">
        <v>600</v>
      </c>
      <c r="G25" s="104">
        <f t="shared" si="0"/>
        <v>2759</v>
      </c>
      <c r="H25" s="105"/>
      <c r="I25" s="112" t="s">
        <v>40</v>
      </c>
      <c r="J25" s="106"/>
      <c r="K25" s="113"/>
      <c r="P25" s="97"/>
    </row>
    <row r="26" spans="2:16" ht="15.75" customHeight="1" x14ac:dyDescent="0.2">
      <c r="B26" s="156" t="s">
        <v>41</v>
      </c>
      <c r="C26" s="157"/>
      <c r="D26" s="103" t="s">
        <v>42</v>
      </c>
      <c r="E26" s="104">
        <v>2119</v>
      </c>
      <c r="F26" s="104"/>
      <c r="G26" s="104">
        <f t="shared" si="0"/>
        <v>2119</v>
      </c>
      <c r="H26" s="105"/>
      <c r="I26" s="113"/>
      <c r="J26" s="106"/>
      <c r="K26" s="113"/>
      <c r="P26" s="97"/>
    </row>
    <row r="27" spans="2:16" ht="15.75" customHeight="1" x14ac:dyDescent="0.2">
      <c r="B27" s="158"/>
      <c r="C27" s="159"/>
      <c r="D27" s="103" t="s">
        <v>43</v>
      </c>
      <c r="E27" s="104">
        <v>967</v>
      </c>
      <c r="F27" s="104">
        <v>0</v>
      </c>
      <c r="G27" s="104">
        <f t="shared" si="0"/>
        <v>967</v>
      </c>
      <c r="H27" s="105"/>
      <c r="I27" s="113"/>
      <c r="J27" s="106"/>
      <c r="K27" s="113"/>
      <c r="P27" s="97"/>
    </row>
    <row r="28" spans="2:16" ht="15.75" customHeight="1" x14ac:dyDescent="0.2">
      <c r="B28" s="158"/>
      <c r="C28" s="159"/>
      <c r="D28" s="103" t="s">
        <v>44</v>
      </c>
      <c r="E28" s="104">
        <v>0</v>
      </c>
      <c r="F28" s="104">
        <v>1601</v>
      </c>
      <c r="G28" s="104">
        <f t="shared" si="0"/>
        <v>1601</v>
      </c>
      <c r="H28" s="105"/>
      <c r="I28" s="112" t="s">
        <v>45</v>
      </c>
      <c r="J28" s="106"/>
      <c r="K28" s="113"/>
      <c r="P28" s="97"/>
    </row>
    <row r="29" spans="2:16" ht="15.75" customHeight="1" x14ac:dyDescent="0.2">
      <c r="B29" s="158"/>
      <c r="C29" s="159"/>
      <c r="D29" s="103" t="s">
        <v>46</v>
      </c>
      <c r="E29" s="104">
        <v>0</v>
      </c>
      <c r="F29" s="104">
        <v>1378</v>
      </c>
      <c r="G29" s="104">
        <f t="shared" si="0"/>
        <v>1378</v>
      </c>
      <c r="H29" s="105"/>
      <c r="I29" s="112" t="s">
        <v>47</v>
      </c>
      <c r="J29" s="106"/>
      <c r="K29" s="113"/>
      <c r="P29" s="97"/>
    </row>
    <row r="30" spans="2:16" ht="15.75" customHeight="1" x14ac:dyDescent="0.2">
      <c r="B30" s="158"/>
      <c r="C30" s="159"/>
      <c r="D30" s="110" t="s">
        <v>49</v>
      </c>
      <c r="E30" s="111">
        <f>750+6089</f>
        <v>6839</v>
      </c>
      <c r="F30" s="111">
        <v>0</v>
      </c>
      <c r="G30" s="111">
        <f t="shared" si="0"/>
        <v>6839</v>
      </c>
      <c r="H30" s="105"/>
      <c r="I30" s="112" t="s">
        <v>51</v>
      </c>
      <c r="J30" s="106"/>
      <c r="K30" s="113"/>
      <c r="P30" s="97"/>
    </row>
    <row r="31" spans="2:16" ht="24.75" customHeight="1" x14ac:dyDescent="0.2">
      <c r="B31" s="158"/>
      <c r="C31" s="159"/>
      <c r="D31" s="108" t="s">
        <v>52</v>
      </c>
      <c r="E31" s="104">
        <f>13021+4800</f>
        <v>17821</v>
      </c>
      <c r="F31" s="104">
        <v>0</v>
      </c>
      <c r="G31" s="104">
        <f t="shared" si="0"/>
        <v>17821</v>
      </c>
      <c r="H31" s="105"/>
      <c r="I31" s="113"/>
      <c r="J31" s="106"/>
      <c r="K31" s="113"/>
      <c r="P31" s="97"/>
    </row>
    <row r="32" spans="2:16" ht="15.75" customHeight="1" x14ac:dyDescent="0.2">
      <c r="B32" s="158"/>
      <c r="C32" s="159"/>
      <c r="D32" s="103" t="s">
        <v>53</v>
      </c>
      <c r="E32" s="104">
        <v>4700</v>
      </c>
      <c r="F32" s="104">
        <v>0</v>
      </c>
      <c r="G32" s="104">
        <f t="shared" si="0"/>
        <v>4700</v>
      </c>
      <c r="H32" s="105"/>
      <c r="I32" s="113"/>
      <c r="J32" s="106"/>
      <c r="K32" s="113"/>
      <c r="P32" s="97"/>
    </row>
    <row r="33" spans="2:16" ht="15.75" customHeight="1" x14ac:dyDescent="0.2">
      <c r="B33" s="158"/>
      <c r="C33" s="159"/>
      <c r="D33" s="115" t="s">
        <v>54</v>
      </c>
      <c r="E33" s="116">
        <f>4800+7209</f>
        <v>12009</v>
      </c>
      <c r="F33" s="116">
        <v>185</v>
      </c>
      <c r="G33" s="116">
        <f t="shared" si="0"/>
        <v>12194</v>
      </c>
      <c r="H33" s="105"/>
      <c r="I33" s="112" t="s">
        <v>55</v>
      </c>
      <c r="J33" s="106"/>
      <c r="K33" s="113"/>
      <c r="P33" s="97"/>
    </row>
    <row r="34" spans="2:16" ht="15.75" customHeight="1" x14ac:dyDescent="0.2">
      <c r="B34" s="162" t="s">
        <v>956</v>
      </c>
      <c r="C34" s="162"/>
      <c r="D34" s="117" t="s">
        <v>957</v>
      </c>
      <c r="E34" s="118">
        <v>2649</v>
      </c>
      <c r="F34" s="118">
        <v>0</v>
      </c>
      <c r="G34" s="118">
        <v>2649</v>
      </c>
      <c r="H34" s="105"/>
      <c r="I34" s="94" t="s">
        <v>958</v>
      </c>
      <c r="J34" s="106"/>
      <c r="K34" s="113"/>
      <c r="P34" s="97"/>
    </row>
    <row r="35" spans="2:16" ht="15.75" customHeight="1" x14ac:dyDescent="0.2">
      <c r="B35" s="119"/>
      <c r="D35" s="120" t="s">
        <v>56</v>
      </c>
      <c r="E35" s="121">
        <f>SUM(E5:E34)</f>
        <v>177647</v>
      </c>
      <c r="F35" s="121">
        <f>SUM(F5:F34)</f>
        <v>23319</v>
      </c>
      <c r="G35" s="121">
        <f>SUM(G5:G34)</f>
        <v>200966</v>
      </c>
      <c r="H35" s="101"/>
      <c r="P35" s="97"/>
    </row>
    <row r="36" spans="2:16" ht="15.75" customHeight="1" x14ac:dyDescent="0.2">
      <c r="E36" s="122" t="s">
        <v>959</v>
      </c>
      <c r="F36" s="123"/>
      <c r="M36" s="97"/>
      <c r="N36" s="97"/>
      <c r="O36" s="97"/>
      <c r="P36" s="97"/>
    </row>
    <row r="37" spans="2:16" ht="15.75" customHeight="1" x14ac:dyDescent="0.2">
      <c r="F37" s="123"/>
      <c r="M37" s="97"/>
      <c r="N37" s="97"/>
      <c r="O37" s="97"/>
      <c r="P37" s="97"/>
    </row>
    <row r="38" spans="2:16" ht="15.75" customHeight="1" x14ac:dyDescent="0.2">
      <c r="M38" s="97"/>
      <c r="N38" s="97"/>
      <c r="O38" s="97"/>
      <c r="P38" s="97"/>
    </row>
    <row r="39" spans="2:16" ht="15.75" customHeight="1" x14ac:dyDescent="0.2">
      <c r="D39" s="151" t="s">
        <v>61</v>
      </c>
      <c r="E39" s="152"/>
      <c r="F39" s="152"/>
      <c r="G39" s="152"/>
      <c r="M39" s="97"/>
      <c r="N39" s="97"/>
      <c r="O39" s="97"/>
      <c r="P39" s="97"/>
    </row>
    <row r="40" spans="2:16" ht="15.75" customHeight="1" x14ac:dyDescent="0.2">
      <c r="M40" s="97"/>
      <c r="N40" s="97"/>
      <c r="O40" s="97"/>
      <c r="P40" s="97"/>
    </row>
    <row r="41" spans="2:16" ht="15.75" customHeight="1" x14ac:dyDescent="0.2">
      <c r="D41" s="100"/>
      <c r="E41" s="100" t="s">
        <v>62</v>
      </c>
      <c r="F41" s="100" t="s">
        <v>63</v>
      </c>
      <c r="G41" s="100" t="s">
        <v>64</v>
      </c>
      <c r="M41" s="97"/>
      <c r="N41" s="97"/>
      <c r="O41" s="97"/>
      <c r="P41" s="97"/>
    </row>
    <row r="42" spans="2:16" ht="15.75" customHeight="1" x14ac:dyDescent="0.2">
      <c r="D42" s="100" t="s">
        <v>60</v>
      </c>
      <c r="E42" s="124">
        <v>0</v>
      </c>
      <c r="F42" s="103">
        <f>E43-F43</f>
        <v>25537</v>
      </c>
      <c r="G42" s="103">
        <f>F42</f>
        <v>25537</v>
      </c>
      <c r="M42" s="97"/>
      <c r="N42" s="97"/>
      <c r="O42" s="97"/>
      <c r="P42" s="97"/>
    </row>
    <row r="43" spans="2:16" ht="15.75" customHeight="1" x14ac:dyDescent="0.2">
      <c r="D43" s="100" t="s">
        <v>65</v>
      </c>
      <c r="E43" s="103">
        <v>48856</v>
      </c>
      <c r="F43" s="103">
        <f>F35</f>
        <v>23319</v>
      </c>
      <c r="G43" s="103">
        <f>F43-E43</f>
        <v>-25537</v>
      </c>
      <c r="M43" s="97"/>
      <c r="N43" s="97"/>
      <c r="O43" s="97"/>
      <c r="P43" s="97"/>
    </row>
    <row r="44" spans="2:16" ht="15.75" customHeight="1" x14ac:dyDescent="0.2">
      <c r="D44" s="100" t="s">
        <v>66</v>
      </c>
      <c r="E44" s="103">
        <v>138790</v>
      </c>
      <c r="F44" s="103">
        <f>E35</f>
        <v>177647</v>
      </c>
      <c r="G44" s="103">
        <f>F44-E44</f>
        <v>38857</v>
      </c>
      <c r="M44" s="97"/>
      <c r="N44" s="97"/>
      <c r="O44" s="97"/>
      <c r="P44" s="97"/>
    </row>
    <row r="45" spans="2:16" ht="15.75" customHeight="1" x14ac:dyDescent="0.2">
      <c r="D45" s="100" t="s">
        <v>67</v>
      </c>
      <c r="E45" s="103">
        <f>SUM(E43:E44)</f>
        <v>187646</v>
      </c>
      <c r="F45" s="103">
        <f>G35</f>
        <v>200966</v>
      </c>
      <c r="G45" s="103">
        <f>F45-E45</f>
        <v>13320</v>
      </c>
      <c r="M45" s="97"/>
      <c r="N45" s="97"/>
      <c r="O45" s="97"/>
      <c r="P45" s="97"/>
    </row>
    <row r="46" spans="2:16" ht="15.75" customHeight="1" x14ac:dyDescent="0.2">
      <c r="D46" s="100" t="s">
        <v>68</v>
      </c>
      <c r="E46" s="103">
        <f>E63</f>
        <v>111011</v>
      </c>
      <c r="F46" s="103">
        <f>F63</f>
        <v>143775.42430000007</v>
      </c>
      <c r="G46" s="103">
        <f>F46-E46</f>
        <v>32764.424300000072</v>
      </c>
      <c r="M46" s="97"/>
      <c r="N46" s="97"/>
      <c r="O46" s="97"/>
      <c r="P46" s="97"/>
    </row>
    <row r="47" spans="2:16" ht="15.75" customHeight="1" x14ac:dyDescent="0.2">
      <c r="D47" s="97" t="s">
        <v>69</v>
      </c>
      <c r="E47" s="97"/>
      <c r="F47" s="97"/>
      <c r="G47" s="97"/>
      <c r="M47" s="97"/>
      <c r="N47" s="97"/>
      <c r="O47" s="97"/>
      <c r="P47" s="97"/>
    </row>
    <row r="48" spans="2:16" ht="15.75" customHeight="1" x14ac:dyDescent="0.2">
      <c r="D48" s="97" t="s">
        <v>70</v>
      </c>
      <c r="E48" s="97"/>
      <c r="F48" s="97"/>
      <c r="G48" s="97"/>
      <c r="M48" s="97"/>
      <c r="N48" s="97"/>
      <c r="O48" s="97"/>
      <c r="P48" s="97"/>
    </row>
    <row r="49" spans="2:16" ht="15.75" customHeight="1" x14ac:dyDescent="0.2">
      <c r="D49" s="97" t="s">
        <v>71</v>
      </c>
      <c r="E49" s="97"/>
      <c r="F49" s="97"/>
      <c r="G49" s="97"/>
      <c r="M49" s="97"/>
      <c r="N49" s="97"/>
      <c r="O49" s="97"/>
      <c r="P49" s="97"/>
    </row>
    <row r="50" spans="2:16" ht="15.75" customHeight="1" x14ac:dyDescent="0.2">
      <c r="D50" s="147" t="s">
        <v>960</v>
      </c>
      <c r="H50" s="97"/>
      <c r="M50" s="97"/>
      <c r="N50" s="97"/>
      <c r="O50" s="97"/>
      <c r="P50" s="97"/>
    </row>
    <row r="51" spans="2:16" ht="15.75" customHeight="1" x14ac:dyDescent="0.2">
      <c r="B51" s="101"/>
      <c r="C51" s="101"/>
      <c r="D51" s="101"/>
      <c r="E51" s="101"/>
      <c r="F51" s="101"/>
      <c r="H51" s="97"/>
      <c r="M51" s="97"/>
      <c r="N51" s="97"/>
      <c r="O51" s="97"/>
      <c r="P51" s="97"/>
    </row>
    <row r="52" spans="2:16" ht="15.75" customHeight="1" x14ac:dyDescent="0.2">
      <c r="B52" s="101"/>
      <c r="C52" s="101"/>
      <c r="D52" s="151" t="s">
        <v>73</v>
      </c>
      <c r="E52" s="152"/>
      <c r="F52" s="152"/>
      <c r="G52" s="152"/>
      <c r="H52" s="97"/>
      <c r="M52" s="97"/>
      <c r="N52" s="97"/>
      <c r="O52" s="97"/>
      <c r="P52" s="97"/>
    </row>
    <row r="53" spans="2:16" ht="15.75" customHeight="1" x14ac:dyDescent="0.2">
      <c r="B53" s="101"/>
      <c r="C53" s="101"/>
      <c r="D53" s="101"/>
      <c r="E53" s="101"/>
      <c r="F53" s="101"/>
      <c r="G53" s="101"/>
      <c r="H53" s="97"/>
      <c r="M53" s="97"/>
      <c r="N53" s="97"/>
      <c r="O53" s="97"/>
      <c r="P53" s="97"/>
    </row>
    <row r="54" spans="2:16" ht="15.75" customHeight="1" x14ac:dyDescent="0.2">
      <c r="B54" s="101"/>
      <c r="C54" s="101"/>
      <c r="D54" s="125" t="s">
        <v>74</v>
      </c>
      <c r="E54" s="126" t="s">
        <v>62</v>
      </c>
      <c r="F54" s="126" t="s">
        <v>63</v>
      </c>
      <c r="G54" s="127" t="s">
        <v>75</v>
      </c>
      <c r="H54" s="97"/>
      <c r="M54" s="97"/>
      <c r="N54" s="97"/>
      <c r="O54" s="97"/>
      <c r="P54" s="97"/>
    </row>
    <row r="55" spans="2:16" ht="15.75" customHeight="1" x14ac:dyDescent="0.2">
      <c r="B55" s="128"/>
      <c r="C55" s="105"/>
      <c r="D55" s="129" t="s">
        <v>76</v>
      </c>
      <c r="E55" s="103">
        <f>E44</f>
        <v>138790</v>
      </c>
      <c r="F55" s="103">
        <f>F44</f>
        <v>177647</v>
      </c>
      <c r="G55" s="130">
        <f>F55-E55</f>
        <v>38857</v>
      </c>
      <c r="H55" s="97"/>
      <c r="M55" s="97"/>
      <c r="N55" s="97"/>
      <c r="O55" s="97"/>
      <c r="P55" s="97"/>
    </row>
    <row r="56" spans="2:16" ht="15.75" customHeight="1" x14ac:dyDescent="0.2">
      <c r="B56" s="128"/>
      <c r="C56" s="105"/>
      <c r="D56" s="129" t="s">
        <v>77</v>
      </c>
      <c r="E56" s="103">
        <f>83243+3441+11162+2636</f>
        <v>100482</v>
      </c>
      <c r="F56" s="103">
        <f>DISTRIBUTIONS!C3</f>
        <v>139921.94430000006</v>
      </c>
      <c r="G56" s="130">
        <f>F56-E56</f>
        <v>39439.944300000061</v>
      </c>
      <c r="H56" s="97"/>
      <c r="M56" s="97"/>
      <c r="N56" s="97"/>
      <c r="O56" s="97"/>
      <c r="P56" s="97"/>
    </row>
    <row r="57" spans="2:16" ht="15.75" customHeight="1" x14ac:dyDescent="0.2">
      <c r="B57" s="101"/>
      <c r="C57" s="105"/>
      <c r="D57" s="129" t="s">
        <v>78</v>
      </c>
      <c r="E57" s="103">
        <f>5133</f>
        <v>5133</v>
      </c>
      <c r="F57" s="103">
        <v>0</v>
      </c>
      <c r="G57" s="130">
        <f>F57-E57</f>
        <v>-5133</v>
      </c>
      <c r="H57" s="97"/>
      <c r="M57" s="97"/>
      <c r="N57" s="97"/>
      <c r="O57" s="97"/>
      <c r="P57" s="97"/>
    </row>
    <row r="58" spans="2:16" ht="15.75" customHeight="1" x14ac:dyDescent="0.2">
      <c r="B58" s="101"/>
      <c r="C58" s="105"/>
      <c r="D58" s="129" t="s">
        <v>79</v>
      </c>
      <c r="E58" s="103">
        <v>2409</v>
      </c>
      <c r="F58" s="103">
        <f>DISTRIBUTIONS!E3</f>
        <v>0</v>
      </c>
      <c r="G58" s="131" t="s">
        <v>80</v>
      </c>
      <c r="H58" s="97"/>
      <c r="M58" s="97"/>
      <c r="N58" s="97"/>
      <c r="O58" s="97"/>
      <c r="P58" s="97"/>
    </row>
    <row r="59" spans="2:16" ht="15.75" customHeight="1" x14ac:dyDescent="0.2">
      <c r="B59" s="101"/>
      <c r="C59" s="105"/>
      <c r="D59" s="129" t="s">
        <v>81</v>
      </c>
      <c r="E59" s="103">
        <v>2987</v>
      </c>
      <c r="F59" s="103">
        <f>DISTRIBUTIONS!C4</f>
        <v>3853.4799999999996</v>
      </c>
      <c r="G59" s="131" t="s">
        <v>80</v>
      </c>
      <c r="H59" s="97"/>
      <c r="M59" s="97"/>
      <c r="N59" s="97"/>
      <c r="O59" s="97"/>
      <c r="P59" s="97"/>
    </row>
    <row r="60" spans="2:16" ht="15.75" customHeight="1" x14ac:dyDescent="0.2">
      <c r="B60" s="101"/>
      <c r="C60" s="105"/>
      <c r="D60" s="129" t="s">
        <v>82</v>
      </c>
      <c r="E60" s="124">
        <v>0</v>
      </c>
      <c r="F60" s="103">
        <v>0</v>
      </c>
      <c r="G60" s="132">
        <f>DISTRIBUTIONS!E4</f>
        <v>0</v>
      </c>
      <c r="H60" s="97"/>
      <c r="M60" s="97"/>
      <c r="N60" s="97"/>
      <c r="O60" s="97"/>
      <c r="P60" s="97"/>
    </row>
    <row r="61" spans="2:16" ht="15.75" customHeight="1" x14ac:dyDescent="0.2">
      <c r="C61" s="97"/>
      <c r="D61" s="133" t="s">
        <v>83</v>
      </c>
      <c r="E61" s="134">
        <v>4000</v>
      </c>
      <c r="F61" s="134">
        <v>0</v>
      </c>
      <c r="G61" s="135">
        <f>F61-E61</f>
        <v>-4000</v>
      </c>
      <c r="H61" s="97"/>
      <c r="M61" s="97"/>
      <c r="N61" s="97"/>
      <c r="O61" s="97"/>
      <c r="P61" s="97"/>
    </row>
    <row r="62" spans="2:16" ht="15.75" customHeight="1" x14ac:dyDescent="0.2">
      <c r="C62" s="97"/>
      <c r="D62" s="136" t="s">
        <v>84</v>
      </c>
      <c r="E62" s="137">
        <f>E56+E57</f>
        <v>105615</v>
      </c>
      <c r="F62" s="137">
        <f>F56+F57</f>
        <v>139921.94430000006</v>
      </c>
      <c r="G62" s="138">
        <f>F62-E62</f>
        <v>34306.944300000061</v>
      </c>
      <c r="H62" s="97"/>
      <c r="M62" s="97"/>
      <c r="N62" s="97"/>
      <c r="O62" s="97"/>
      <c r="P62" s="97"/>
    </row>
    <row r="63" spans="2:16" ht="25.5" customHeight="1" x14ac:dyDescent="0.2">
      <c r="D63" s="139" t="s">
        <v>90</v>
      </c>
      <c r="E63" s="99">
        <f>SUM(E56:E59)</f>
        <v>111011</v>
      </c>
      <c r="F63" s="99">
        <f>SUM(F56:F60)</f>
        <v>143775.42430000007</v>
      </c>
      <c r="G63" s="130">
        <f>F63-E63</f>
        <v>32764.424300000072</v>
      </c>
      <c r="H63" s="97"/>
      <c r="M63" s="97"/>
      <c r="N63" s="97"/>
      <c r="O63" s="97"/>
      <c r="P63" s="97"/>
    </row>
    <row r="64" spans="2:16" ht="25.5" x14ac:dyDescent="0.2">
      <c r="D64" s="139" t="s">
        <v>961</v>
      </c>
      <c r="E64" s="99">
        <f>E55-E63</f>
        <v>27779</v>
      </c>
      <c r="F64" s="99">
        <f>E35-F63</f>
        <v>33871.575699999928</v>
      </c>
      <c r="G64" s="130">
        <f>F64-E64</f>
        <v>6092.5756999999285</v>
      </c>
      <c r="H64" s="97"/>
      <c r="M64" s="97"/>
      <c r="N64" s="97"/>
      <c r="O64" s="97"/>
      <c r="P64" s="97"/>
    </row>
    <row r="65" spans="1:16" ht="30.75" customHeight="1" thickBot="1" x14ac:dyDescent="0.25">
      <c r="A65" s="105"/>
      <c r="C65" s="97"/>
      <c r="D65" s="148" t="s">
        <v>962</v>
      </c>
      <c r="E65" s="149">
        <f>E59+E64</f>
        <v>30766</v>
      </c>
      <c r="F65" s="149">
        <f>F59+F64+F60</f>
        <v>37725.055699999924</v>
      </c>
      <c r="G65" s="150">
        <f>F65-E65</f>
        <v>6959.0556999999244</v>
      </c>
      <c r="H65" s="97"/>
      <c r="J65" s="97"/>
      <c r="K65" s="97"/>
      <c r="L65" s="97"/>
      <c r="M65" s="97"/>
      <c r="N65" s="97"/>
      <c r="O65" s="97"/>
      <c r="P65" s="97"/>
    </row>
    <row r="66" spans="1:16" ht="15.75" customHeight="1" x14ac:dyDescent="0.2">
      <c r="A66" s="105"/>
      <c r="D66" s="97"/>
      <c r="E66" s="97"/>
      <c r="F66" s="97"/>
      <c r="G66" s="97"/>
      <c r="H66" s="97"/>
      <c r="J66" s="97"/>
      <c r="K66" s="97"/>
      <c r="L66" s="97"/>
      <c r="M66" s="97"/>
      <c r="N66" s="97"/>
      <c r="O66" s="97"/>
      <c r="P66" s="97"/>
    </row>
    <row r="67" spans="1:16" ht="15.75" customHeight="1" x14ac:dyDescent="0.2">
      <c r="A67" s="105"/>
      <c r="B67" s="97"/>
      <c r="C67" s="97"/>
      <c r="D67" s="120" t="s">
        <v>91</v>
      </c>
      <c r="E67" s="140">
        <f>E63/E55</f>
        <v>0.79984869226889543</v>
      </c>
      <c r="F67" s="140">
        <f>F63/F55</f>
        <v>0.8093321266331549</v>
      </c>
      <c r="G67" s="97"/>
      <c r="H67" s="97"/>
      <c r="J67" s="97"/>
      <c r="K67" s="97"/>
      <c r="L67" s="97"/>
      <c r="M67" s="97"/>
      <c r="N67" s="97"/>
      <c r="O67" s="97"/>
      <c r="P67" s="97"/>
    </row>
    <row r="68" spans="1:16" ht="15.75" customHeight="1" x14ac:dyDescent="0.2">
      <c r="A68" s="105"/>
      <c r="B68" s="97"/>
      <c r="C68" s="97"/>
      <c r="D68" s="120" t="s">
        <v>92</v>
      </c>
      <c r="E68" s="140">
        <f>E65/E55</f>
        <v>0.22167303119821313</v>
      </c>
      <c r="F68" s="140">
        <f>F65/F55</f>
        <v>0.21235965538399143</v>
      </c>
      <c r="G68" s="97"/>
      <c r="H68" s="97"/>
      <c r="J68" s="97"/>
      <c r="K68" s="97"/>
      <c r="L68" s="97"/>
      <c r="M68" s="97"/>
      <c r="N68" s="97"/>
      <c r="O68" s="97"/>
      <c r="P68" s="97"/>
    </row>
    <row r="69" spans="1:16" ht="15.75" customHeight="1" x14ac:dyDescent="0.2">
      <c r="A69" s="105"/>
      <c r="B69" s="97"/>
      <c r="C69" s="97"/>
      <c r="D69" s="97"/>
      <c r="E69" s="141" t="s">
        <v>963</v>
      </c>
      <c r="F69" s="142">
        <f>G56-G57</f>
        <v>44572.944300000061</v>
      </c>
      <c r="G69" s="97"/>
      <c r="H69" s="97"/>
      <c r="J69" s="97"/>
      <c r="K69" s="97"/>
      <c r="L69" s="97"/>
      <c r="M69" s="97"/>
      <c r="N69" s="97"/>
      <c r="O69" s="97"/>
      <c r="P69" s="97"/>
    </row>
    <row r="70" spans="1:16" ht="15.75" customHeight="1" x14ac:dyDescent="0.2">
      <c r="A70" s="105"/>
      <c r="B70" s="97"/>
      <c r="C70" s="97"/>
      <c r="D70" s="97"/>
      <c r="E70" s="97"/>
      <c r="F70" s="97"/>
      <c r="G70" s="97"/>
      <c r="H70" s="97"/>
      <c r="J70" s="97"/>
      <c r="K70" s="97"/>
      <c r="L70" s="97"/>
      <c r="M70" s="97"/>
      <c r="N70" s="97"/>
      <c r="O70" s="97"/>
      <c r="P70" s="97"/>
    </row>
    <row r="71" spans="1:16" ht="15.75" customHeight="1" x14ac:dyDescent="0.2">
      <c r="A71" s="105"/>
      <c r="B71" s="97"/>
      <c r="C71" s="97"/>
      <c r="D71" s="151" t="s">
        <v>93</v>
      </c>
      <c r="E71" s="152"/>
      <c r="F71" s="98"/>
      <c r="G71" s="98"/>
      <c r="H71" s="97"/>
      <c r="J71" s="97"/>
      <c r="K71" s="97"/>
      <c r="L71" s="97"/>
      <c r="M71" s="97"/>
      <c r="N71" s="97"/>
      <c r="O71" s="97"/>
      <c r="P71" s="97"/>
    </row>
    <row r="72" spans="1:16" ht="15.75" customHeight="1" x14ac:dyDescent="0.2">
      <c r="A72" s="105"/>
      <c r="B72" s="97"/>
      <c r="C72" s="97"/>
      <c r="D72" s="97"/>
      <c r="E72" s="97"/>
      <c r="F72" s="143"/>
      <c r="G72" s="97"/>
      <c r="H72" s="97"/>
      <c r="J72" s="97"/>
      <c r="K72" s="97"/>
      <c r="L72" s="97"/>
      <c r="M72" s="97"/>
      <c r="N72" s="97"/>
      <c r="O72" s="97"/>
      <c r="P72" s="97"/>
    </row>
    <row r="73" spans="1:16" ht="15.75" customHeight="1" x14ac:dyDescent="0.2">
      <c r="A73" s="105"/>
      <c r="B73" s="97"/>
      <c r="C73" s="97"/>
      <c r="D73" s="124" t="s">
        <v>964</v>
      </c>
      <c r="E73" s="144">
        <f>F65</f>
        <v>37725.055699999924</v>
      </c>
      <c r="F73" s="97"/>
      <c r="G73" s="97"/>
      <c r="H73" s="97"/>
      <c r="J73" s="97"/>
      <c r="K73" s="97"/>
      <c r="L73" s="97"/>
      <c r="M73" s="97"/>
      <c r="N73" s="97"/>
      <c r="O73" s="97"/>
      <c r="P73" s="97"/>
    </row>
    <row r="74" spans="1:16" ht="15.75" customHeight="1" x14ac:dyDescent="0.2">
      <c r="A74" s="105"/>
      <c r="B74" s="97"/>
      <c r="C74" s="97"/>
      <c r="D74" s="124" t="s">
        <v>965</v>
      </c>
      <c r="E74" s="144">
        <f>F33</f>
        <v>185</v>
      </c>
      <c r="F74" s="97"/>
      <c r="G74" s="97"/>
      <c r="H74" s="97"/>
      <c r="J74" s="97"/>
      <c r="K74" s="97"/>
      <c r="L74" s="97"/>
      <c r="M74" s="97"/>
      <c r="N74" s="97"/>
      <c r="O74" s="97"/>
      <c r="P74" s="97"/>
    </row>
    <row r="75" spans="1:16" ht="15.75" customHeight="1" x14ac:dyDescent="0.2">
      <c r="A75" s="105"/>
      <c r="B75" s="97"/>
      <c r="C75" s="97"/>
      <c r="D75" s="124" t="s">
        <v>966</v>
      </c>
      <c r="E75" s="144">
        <f>F35-F37</f>
        <v>23319</v>
      </c>
      <c r="F75" s="143">
        <f>SUM(E74:E75)</f>
        <v>23504</v>
      </c>
      <c r="G75" s="97"/>
      <c r="H75" s="97"/>
      <c r="J75" s="97"/>
      <c r="K75" s="97"/>
      <c r="L75" s="97"/>
      <c r="M75" s="97"/>
      <c r="N75" s="97"/>
      <c r="O75" s="97"/>
      <c r="P75" s="97"/>
    </row>
    <row r="76" spans="1:16" ht="15.75" customHeight="1" x14ac:dyDescent="0.2">
      <c r="A76" s="105"/>
      <c r="B76" s="97"/>
      <c r="C76" s="97"/>
      <c r="D76" s="124" t="s">
        <v>8</v>
      </c>
      <c r="E76" s="144">
        <f>SUM(E73:E75)</f>
        <v>61229.055699999924</v>
      </c>
      <c r="F76" s="97"/>
      <c r="G76" s="97"/>
      <c r="H76" s="97"/>
      <c r="J76" s="97"/>
      <c r="K76" s="97"/>
      <c r="L76" s="97"/>
      <c r="M76" s="97"/>
      <c r="N76" s="97"/>
      <c r="O76" s="97"/>
      <c r="P76" s="97"/>
    </row>
    <row r="77" spans="1:16" ht="15.75" customHeight="1" x14ac:dyDescent="0.2">
      <c r="A77" s="105"/>
      <c r="B77" s="97"/>
      <c r="C77" s="97"/>
      <c r="D77" s="97"/>
      <c r="E77" s="97"/>
      <c r="F77" s="97"/>
      <c r="G77" s="97"/>
      <c r="H77" s="97"/>
      <c r="J77" s="97"/>
      <c r="K77" s="97"/>
      <c r="L77" s="97"/>
      <c r="M77" s="97"/>
      <c r="N77" s="97"/>
      <c r="O77" s="97"/>
      <c r="P77" s="97"/>
    </row>
    <row r="78" spans="1:16" ht="15.75" customHeight="1" x14ac:dyDescent="0.2">
      <c r="A78" s="105"/>
      <c r="B78" s="97"/>
      <c r="C78" s="97"/>
      <c r="D78" s="97"/>
      <c r="E78" s="97"/>
      <c r="F78" s="97"/>
      <c r="G78" s="97"/>
      <c r="H78" s="97"/>
      <c r="J78" s="97"/>
      <c r="K78" s="97"/>
      <c r="L78" s="97"/>
      <c r="M78" s="97"/>
      <c r="N78" s="97"/>
      <c r="O78" s="97"/>
      <c r="P78" s="97"/>
    </row>
    <row r="79" spans="1:16" ht="15.75" customHeight="1" x14ac:dyDescent="0.2">
      <c r="A79" s="105"/>
      <c r="B79" s="97"/>
      <c r="C79" s="97"/>
      <c r="D79" s="97"/>
      <c r="E79" s="101"/>
      <c r="F79" s="97"/>
      <c r="H79" s="105"/>
      <c r="J79" s="97"/>
      <c r="K79" s="97"/>
      <c r="L79" s="97"/>
      <c r="M79" s="97"/>
      <c r="N79" s="97"/>
      <c r="O79" s="97"/>
      <c r="P79" s="97"/>
    </row>
    <row r="80" spans="1:16" ht="15.75" customHeight="1" x14ac:dyDescent="0.2">
      <c r="A80" s="105"/>
      <c r="B80" s="97"/>
      <c r="C80" s="97"/>
      <c r="D80" s="145"/>
      <c r="E80" s="101"/>
      <c r="G80" s="146"/>
      <c r="H80" s="142"/>
      <c r="J80" s="97"/>
      <c r="K80" s="97"/>
      <c r="L80" s="97"/>
      <c r="M80" s="97"/>
      <c r="N80" s="97"/>
      <c r="O80" s="97"/>
      <c r="P80" s="97"/>
    </row>
    <row r="81" spans="1:16" ht="15.75" customHeight="1" x14ac:dyDescent="0.2">
      <c r="A81" s="105"/>
      <c r="B81" s="97"/>
      <c r="C81" s="97"/>
      <c r="E81" s="101"/>
      <c r="G81" s="143"/>
      <c r="H81" s="142"/>
      <c r="J81" s="97"/>
      <c r="K81" s="97"/>
      <c r="L81" s="97"/>
      <c r="M81" s="97"/>
      <c r="N81" s="97"/>
      <c r="O81" s="97"/>
      <c r="P81" s="97"/>
    </row>
    <row r="82" spans="1:16" ht="15.75" customHeight="1" x14ac:dyDescent="0.2">
      <c r="A82" s="105"/>
      <c r="B82" s="97"/>
      <c r="C82" s="97"/>
      <c r="D82" s="97"/>
      <c r="E82" s="97"/>
      <c r="F82" s="97"/>
      <c r="G82" s="97"/>
      <c r="H82" s="97"/>
      <c r="J82" s="97"/>
      <c r="K82" s="97"/>
      <c r="L82" s="97"/>
      <c r="M82" s="97"/>
      <c r="N82" s="97"/>
      <c r="O82" s="97"/>
      <c r="P82" s="97"/>
    </row>
    <row r="83" spans="1:16" ht="15.75" customHeight="1" x14ac:dyDescent="0.2">
      <c r="A83" s="105"/>
      <c r="B83" s="97"/>
      <c r="C83" s="97"/>
      <c r="D83" s="97"/>
      <c r="E83" s="97"/>
      <c r="F83" s="97"/>
      <c r="G83" s="97"/>
      <c r="H83" s="97"/>
      <c r="J83" s="97"/>
      <c r="K83" s="97"/>
      <c r="L83" s="97"/>
      <c r="M83" s="97"/>
      <c r="N83" s="97"/>
      <c r="O83" s="97"/>
      <c r="P83" s="97"/>
    </row>
    <row r="84" spans="1:16" ht="15.75" customHeight="1" x14ac:dyDescent="0.2">
      <c r="A84" s="105"/>
      <c r="B84" s="97"/>
      <c r="C84" s="97"/>
      <c r="D84" s="97"/>
      <c r="E84" s="101"/>
      <c r="F84" s="142"/>
      <c r="G84" s="142"/>
      <c r="H84" s="142"/>
      <c r="I84" s="97"/>
      <c r="J84" s="97"/>
      <c r="K84" s="97"/>
      <c r="L84" s="97"/>
      <c r="M84" s="97"/>
      <c r="N84" s="97"/>
      <c r="O84" s="97"/>
      <c r="P84" s="97"/>
    </row>
    <row r="85" spans="1:16" ht="15.75" customHeight="1" x14ac:dyDescent="0.2">
      <c r="A85" s="105"/>
      <c r="B85" s="97"/>
      <c r="C85" s="97"/>
      <c r="D85" s="97"/>
      <c r="E85" s="101"/>
      <c r="F85" s="142"/>
      <c r="G85" s="142"/>
      <c r="H85" s="142"/>
      <c r="I85" s="97"/>
      <c r="J85" s="97"/>
      <c r="K85" s="97"/>
      <c r="L85" s="97"/>
      <c r="M85" s="97"/>
      <c r="N85" s="97"/>
      <c r="O85" s="97"/>
      <c r="P85" s="97"/>
    </row>
    <row r="86" spans="1:16" ht="15.75" customHeight="1" x14ac:dyDescent="0.2">
      <c r="A86" s="105"/>
      <c r="B86" s="97"/>
      <c r="C86" s="97"/>
      <c r="D86" s="97"/>
      <c r="E86" s="101"/>
      <c r="F86" s="105"/>
      <c r="G86" s="97"/>
      <c r="H86" s="97"/>
      <c r="J86" s="97"/>
      <c r="K86" s="97"/>
      <c r="L86" s="97"/>
      <c r="M86" s="97"/>
      <c r="N86" s="97"/>
      <c r="O86" s="97"/>
      <c r="P86" s="97"/>
    </row>
    <row r="87" spans="1:16" ht="15.75" customHeight="1" x14ac:dyDescent="0.2">
      <c r="A87" s="105"/>
      <c r="B87" s="97"/>
      <c r="C87" s="97"/>
      <c r="D87" s="97"/>
      <c r="E87" s="97"/>
      <c r="F87" s="97"/>
      <c r="G87" s="97"/>
      <c r="H87" s="97"/>
      <c r="J87" s="97"/>
      <c r="K87" s="97"/>
      <c r="L87" s="97"/>
      <c r="M87" s="97"/>
      <c r="N87" s="97"/>
      <c r="O87" s="97"/>
      <c r="P87" s="97"/>
    </row>
    <row r="88" spans="1:16" ht="15.75" customHeight="1" x14ac:dyDescent="0.2">
      <c r="A88" s="105"/>
      <c r="B88" s="97"/>
      <c r="C88" s="97"/>
      <c r="D88" s="97"/>
      <c r="E88" s="97"/>
      <c r="F88" s="97"/>
      <c r="G88" s="97"/>
      <c r="H88" s="97"/>
      <c r="J88" s="97"/>
      <c r="K88" s="97"/>
      <c r="L88" s="97"/>
      <c r="M88" s="97"/>
      <c r="N88" s="97"/>
      <c r="O88" s="97"/>
      <c r="P88" s="97"/>
    </row>
    <row r="89" spans="1:16" ht="15.75" customHeight="1" x14ac:dyDescent="0.2">
      <c r="A89" s="105"/>
      <c r="B89" s="97"/>
      <c r="C89" s="97"/>
      <c r="D89" s="97"/>
      <c r="E89" s="97"/>
      <c r="F89" s="97"/>
      <c r="G89" s="97"/>
      <c r="H89" s="97"/>
      <c r="J89" s="97"/>
      <c r="K89" s="97"/>
      <c r="L89" s="97"/>
      <c r="M89" s="97"/>
      <c r="N89" s="97"/>
      <c r="O89" s="97"/>
      <c r="P89" s="97"/>
    </row>
    <row r="90" spans="1:16" ht="15.75" customHeight="1" x14ac:dyDescent="0.2">
      <c r="A90" s="105"/>
      <c r="B90" s="97"/>
      <c r="C90" s="97"/>
      <c r="D90" s="97"/>
      <c r="E90" s="97"/>
      <c r="F90" s="97"/>
      <c r="G90" s="97"/>
      <c r="H90" s="97"/>
      <c r="J90" s="97"/>
      <c r="K90" s="97"/>
      <c r="L90" s="97"/>
      <c r="M90" s="97"/>
      <c r="N90" s="97"/>
      <c r="O90" s="97"/>
      <c r="P90" s="97"/>
    </row>
    <row r="91" spans="1:16" ht="15.75" customHeight="1" x14ac:dyDescent="0.2">
      <c r="A91" s="105"/>
      <c r="B91" s="97"/>
      <c r="C91" s="97"/>
      <c r="D91" s="97"/>
      <c r="E91" s="97"/>
      <c r="F91" s="97"/>
      <c r="G91" s="97"/>
      <c r="H91" s="97"/>
      <c r="J91" s="97"/>
      <c r="K91" s="97"/>
      <c r="L91" s="97"/>
      <c r="M91" s="97"/>
      <c r="N91" s="97"/>
      <c r="O91" s="97"/>
      <c r="P91" s="97"/>
    </row>
    <row r="92" spans="1:16" ht="15.75" customHeight="1" x14ac:dyDescent="0.2">
      <c r="A92" s="105"/>
      <c r="B92" s="97"/>
      <c r="C92" s="97"/>
      <c r="D92" s="97"/>
      <c r="E92" s="97"/>
      <c r="F92" s="97"/>
      <c r="G92" s="97"/>
      <c r="H92" s="97"/>
      <c r="J92" s="97"/>
      <c r="K92" s="97"/>
      <c r="L92" s="97"/>
      <c r="M92" s="97"/>
      <c r="N92" s="97"/>
      <c r="O92" s="97"/>
      <c r="P92" s="97"/>
    </row>
    <row r="93" spans="1:16" ht="15.75" customHeight="1" x14ac:dyDescent="0.2">
      <c r="A93" s="105"/>
      <c r="B93" s="97"/>
      <c r="C93" s="97"/>
      <c r="D93" s="97"/>
      <c r="E93" s="97"/>
      <c r="F93" s="97"/>
      <c r="G93" s="97"/>
      <c r="H93" s="97"/>
      <c r="J93" s="97"/>
      <c r="K93" s="97"/>
      <c r="L93" s="97"/>
      <c r="M93" s="97"/>
      <c r="N93" s="97"/>
      <c r="O93" s="97"/>
      <c r="P93" s="97"/>
    </row>
    <row r="94" spans="1:16" ht="15.75" customHeight="1" x14ac:dyDescent="0.2">
      <c r="A94" s="105"/>
      <c r="B94" s="97"/>
      <c r="C94" s="97"/>
      <c r="D94" s="97"/>
      <c r="E94" s="97"/>
      <c r="F94" s="97"/>
      <c r="G94" s="97"/>
      <c r="H94" s="97"/>
      <c r="J94" s="97"/>
      <c r="K94" s="97"/>
      <c r="L94" s="97"/>
      <c r="M94" s="97"/>
      <c r="N94" s="97"/>
      <c r="O94" s="97"/>
      <c r="P94" s="97"/>
    </row>
    <row r="95" spans="1:16" ht="15.75" customHeight="1" x14ac:dyDescent="0.2">
      <c r="A95" s="105"/>
      <c r="B95" s="97"/>
      <c r="C95" s="97"/>
      <c r="D95" s="97"/>
      <c r="E95" s="97"/>
      <c r="F95" s="97"/>
      <c r="G95" s="97"/>
      <c r="H95" s="97"/>
      <c r="J95" s="97"/>
      <c r="K95" s="97"/>
      <c r="L95" s="97"/>
      <c r="M95" s="97"/>
      <c r="N95" s="97"/>
      <c r="O95" s="97"/>
      <c r="P95" s="97"/>
    </row>
    <row r="96" spans="1:16" ht="15.75" customHeight="1" x14ac:dyDescent="0.2">
      <c r="A96" s="105"/>
      <c r="B96" s="97"/>
      <c r="C96" s="97"/>
      <c r="D96" s="97"/>
      <c r="E96" s="97"/>
      <c r="F96" s="97"/>
      <c r="G96" s="97"/>
      <c r="H96" s="97"/>
      <c r="J96" s="97"/>
      <c r="K96" s="97"/>
      <c r="L96" s="97"/>
      <c r="M96" s="97"/>
      <c r="N96" s="97"/>
      <c r="O96" s="97"/>
      <c r="P96" s="97"/>
    </row>
    <row r="97" spans="1:16" ht="15.75" customHeight="1" x14ac:dyDescent="0.2">
      <c r="A97" s="105"/>
      <c r="B97" s="97"/>
      <c r="C97" s="97"/>
      <c r="D97" s="97"/>
      <c r="E97" s="97"/>
      <c r="F97" s="97"/>
      <c r="G97" s="97"/>
      <c r="H97" s="97"/>
      <c r="J97" s="97"/>
      <c r="K97" s="97"/>
      <c r="L97" s="97"/>
      <c r="M97" s="97"/>
      <c r="N97" s="97"/>
      <c r="O97" s="97"/>
      <c r="P97" s="97"/>
    </row>
    <row r="98" spans="1:16" ht="15.75" customHeight="1" x14ac:dyDescent="0.2">
      <c r="A98" s="105"/>
      <c r="B98" s="97"/>
      <c r="C98" s="97"/>
      <c r="D98" s="97"/>
      <c r="E98" s="97"/>
      <c r="F98" s="97"/>
      <c r="G98" s="97"/>
      <c r="H98" s="97"/>
      <c r="J98" s="97"/>
      <c r="K98" s="97"/>
      <c r="L98" s="97"/>
      <c r="M98" s="97"/>
      <c r="N98" s="97"/>
      <c r="O98" s="97"/>
      <c r="P98" s="97"/>
    </row>
    <row r="99" spans="1:16" ht="15.75" customHeight="1" x14ac:dyDescent="0.2">
      <c r="A99" s="105"/>
      <c r="B99" s="97"/>
      <c r="C99" s="97"/>
      <c r="D99" s="97"/>
      <c r="E99" s="97"/>
      <c r="F99" s="97"/>
      <c r="G99" s="97"/>
      <c r="H99" s="97"/>
      <c r="J99" s="97"/>
      <c r="K99" s="97"/>
      <c r="L99" s="97"/>
      <c r="M99" s="97"/>
      <c r="N99" s="97"/>
      <c r="O99" s="97"/>
      <c r="P99" s="97"/>
    </row>
    <row r="100" spans="1:16" ht="15.75" customHeight="1" x14ac:dyDescent="0.2">
      <c r="A100" s="105"/>
      <c r="B100" s="97"/>
      <c r="C100" s="97"/>
      <c r="D100" s="97"/>
      <c r="E100" s="97"/>
      <c r="F100" s="97"/>
      <c r="G100" s="97"/>
      <c r="H100" s="97"/>
      <c r="J100" s="97"/>
      <c r="K100" s="97"/>
      <c r="L100" s="97"/>
      <c r="M100" s="97"/>
      <c r="N100" s="97"/>
      <c r="O100" s="97"/>
      <c r="P100" s="97"/>
    </row>
    <row r="101" spans="1:16" ht="15.75" customHeight="1" x14ac:dyDescent="0.2">
      <c r="A101" s="105"/>
      <c r="B101" s="97"/>
      <c r="C101" s="97"/>
      <c r="D101" s="97"/>
      <c r="E101" s="97"/>
      <c r="F101" s="97"/>
      <c r="G101" s="97"/>
      <c r="H101" s="97"/>
      <c r="J101" s="97"/>
      <c r="K101" s="97"/>
      <c r="L101" s="97"/>
      <c r="M101" s="97"/>
      <c r="N101" s="97"/>
      <c r="O101" s="97"/>
      <c r="P101" s="97"/>
    </row>
    <row r="102" spans="1:16" ht="15.75" customHeight="1" x14ac:dyDescent="0.2">
      <c r="A102" s="105"/>
      <c r="B102" s="97"/>
      <c r="C102" s="97"/>
      <c r="D102" s="97"/>
      <c r="E102" s="97"/>
      <c r="F102" s="97"/>
      <c r="G102" s="97"/>
      <c r="H102" s="97"/>
      <c r="J102" s="97"/>
      <c r="K102" s="97"/>
      <c r="L102" s="97"/>
      <c r="M102" s="97"/>
      <c r="N102" s="97"/>
      <c r="O102" s="97"/>
      <c r="P102" s="97"/>
    </row>
    <row r="103" spans="1:16" ht="15.75" customHeight="1" x14ac:dyDescent="0.2">
      <c r="A103" s="105"/>
      <c r="B103" s="97"/>
      <c r="C103" s="97"/>
      <c r="D103" s="97"/>
      <c r="E103" s="97"/>
      <c r="F103" s="97"/>
      <c r="G103" s="97"/>
      <c r="H103" s="97"/>
      <c r="J103" s="97"/>
      <c r="K103" s="97"/>
      <c r="L103" s="97"/>
      <c r="M103" s="97"/>
      <c r="N103" s="97"/>
      <c r="O103" s="97"/>
      <c r="P103" s="97"/>
    </row>
    <row r="104" spans="1:16" ht="15.75" customHeight="1" x14ac:dyDescent="0.2">
      <c r="A104" s="105"/>
      <c r="B104" s="97"/>
      <c r="C104" s="97"/>
      <c r="D104" s="97"/>
      <c r="E104" s="97"/>
      <c r="F104" s="97"/>
      <c r="G104" s="97"/>
      <c r="H104" s="97"/>
      <c r="J104" s="97"/>
      <c r="K104" s="97"/>
      <c r="L104" s="97"/>
      <c r="M104" s="97"/>
      <c r="N104" s="97"/>
      <c r="O104" s="97"/>
      <c r="P104" s="97"/>
    </row>
    <row r="105" spans="1:16" ht="15.75" customHeight="1" x14ac:dyDescent="0.2">
      <c r="A105" s="105"/>
      <c r="B105" s="97"/>
      <c r="C105" s="97"/>
      <c r="D105" s="97"/>
      <c r="E105" s="97"/>
      <c r="F105" s="97"/>
      <c r="G105" s="97"/>
      <c r="H105" s="97"/>
      <c r="J105" s="97"/>
      <c r="K105" s="97"/>
      <c r="L105" s="97"/>
      <c r="M105" s="97"/>
      <c r="N105" s="97"/>
      <c r="O105" s="97"/>
      <c r="P105" s="97"/>
    </row>
    <row r="106" spans="1:16" ht="15.75" customHeight="1" x14ac:dyDescent="0.2">
      <c r="A106" s="105"/>
      <c r="B106" s="97"/>
      <c r="C106" s="97"/>
      <c r="D106" s="97"/>
      <c r="E106" s="97"/>
      <c r="F106" s="97"/>
      <c r="G106" s="97"/>
      <c r="H106" s="97"/>
      <c r="J106" s="97"/>
      <c r="K106" s="97"/>
      <c r="L106" s="97"/>
      <c r="M106" s="97"/>
      <c r="N106" s="97"/>
      <c r="O106" s="97"/>
      <c r="P106" s="97"/>
    </row>
    <row r="107" spans="1:16" ht="15.75" customHeight="1" x14ac:dyDescent="0.2">
      <c r="A107" s="105"/>
      <c r="B107" s="97"/>
      <c r="C107" s="97"/>
      <c r="D107" s="97"/>
      <c r="E107" s="97"/>
      <c r="F107" s="97"/>
      <c r="G107" s="97"/>
      <c r="H107" s="97"/>
      <c r="J107" s="97"/>
      <c r="K107" s="97"/>
      <c r="L107" s="97"/>
      <c r="M107" s="97"/>
      <c r="N107" s="97"/>
      <c r="O107" s="97"/>
      <c r="P107" s="97"/>
    </row>
    <row r="108" spans="1:16" ht="15.75" customHeight="1" x14ac:dyDescent="0.2">
      <c r="A108" s="105"/>
      <c r="B108" s="97"/>
      <c r="C108" s="97"/>
      <c r="D108" s="97"/>
      <c r="E108" s="97"/>
      <c r="F108" s="97"/>
      <c r="G108" s="97"/>
      <c r="H108" s="97"/>
      <c r="J108" s="97"/>
      <c r="K108" s="97"/>
      <c r="L108" s="97"/>
      <c r="M108" s="97"/>
      <c r="N108" s="97"/>
      <c r="O108" s="97"/>
      <c r="P108" s="97"/>
    </row>
    <row r="109" spans="1:16" ht="15.75" customHeight="1" x14ac:dyDescent="0.2">
      <c r="A109" s="105"/>
      <c r="B109" s="97"/>
      <c r="C109" s="97"/>
      <c r="D109" s="97"/>
      <c r="E109" s="97"/>
      <c r="F109" s="97"/>
      <c r="G109" s="97"/>
      <c r="H109" s="97"/>
      <c r="J109" s="97"/>
      <c r="K109" s="97"/>
      <c r="L109" s="97"/>
      <c r="M109" s="97"/>
      <c r="N109" s="97"/>
      <c r="O109" s="97"/>
      <c r="P109" s="97"/>
    </row>
    <row r="110" spans="1:16" ht="15.75" customHeight="1" x14ac:dyDescent="0.2">
      <c r="A110" s="105"/>
      <c r="B110" s="97"/>
      <c r="C110" s="97"/>
      <c r="D110" s="97"/>
      <c r="E110" s="97"/>
      <c r="F110" s="97"/>
      <c r="G110" s="97"/>
      <c r="H110" s="97"/>
      <c r="J110" s="97"/>
      <c r="K110" s="97"/>
      <c r="L110" s="97"/>
      <c r="M110" s="97"/>
      <c r="N110" s="97"/>
      <c r="O110" s="97"/>
      <c r="P110" s="97"/>
    </row>
    <row r="111" spans="1:16" ht="15.75" customHeight="1" x14ac:dyDescent="0.2">
      <c r="A111" s="105"/>
      <c r="B111" s="97"/>
      <c r="C111" s="97"/>
      <c r="D111" s="97"/>
      <c r="E111" s="97"/>
      <c r="F111" s="97"/>
      <c r="G111" s="97"/>
      <c r="H111" s="97"/>
      <c r="J111" s="97"/>
      <c r="K111" s="97"/>
      <c r="L111" s="97"/>
      <c r="M111" s="97"/>
      <c r="N111" s="97"/>
      <c r="O111" s="97"/>
      <c r="P111" s="97"/>
    </row>
    <row r="112" spans="1:16" ht="15.75" customHeight="1" x14ac:dyDescent="0.2">
      <c r="A112" s="105"/>
      <c r="B112" s="97"/>
      <c r="C112" s="97"/>
      <c r="D112" s="97"/>
      <c r="E112" s="97"/>
      <c r="F112" s="97"/>
      <c r="G112" s="97"/>
      <c r="H112" s="97"/>
      <c r="J112" s="97"/>
      <c r="K112" s="97"/>
      <c r="L112" s="97"/>
      <c r="M112" s="97"/>
      <c r="N112" s="97"/>
      <c r="O112" s="97"/>
      <c r="P112" s="97"/>
    </row>
    <row r="113" spans="1:16" ht="15.75" customHeight="1" x14ac:dyDescent="0.2">
      <c r="A113" s="105"/>
      <c r="B113" s="97"/>
      <c r="C113" s="97"/>
      <c r="D113" s="97"/>
      <c r="E113" s="97"/>
      <c r="F113" s="97"/>
      <c r="G113" s="97"/>
      <c r="H113" s="97"/>
      <c r="J113" s="97"/>
      <c r="K113" s="97"/>
      <c r="L113" s="97"/>
      <c r="M113" s="97"/>
      <c r="N113" s="97"/>
      <c r="O113" s="97"/>
      <c r="P113" s="97"/>
    </row>
    <row r="114" spans="1:16" ht="15.75" customHeight="1" x14ac:dyDescent="0.2">
      <c r="A114" s="105"/>
      <c r="B114" s="97"/>
      <c r="C114" s="97"/>
      <c r="D114" s="97"/>
      <c r="E114" s="97"/>
      <c r="F114" s="97"/>
      <c r="G114" s="97"/>
      <c r="H114" s="97"/>
      <c r="J114" s="97"/>
      <c r="K114" s="97"/>
      <c r="L114" s="97"/>
      <c r="M114" s="97"/>
      <c r="N114" s="97"/>
      <c r="O114" s="97"/>
      <c r="P114" s="97"/>
    </row>
    <row r="115" spans="1:16" ht="15.75" customHeight="1" x14ac:dyDescent="0.2">
      <c r="A115" s="105"/>
      <c r="B115" s="97"/>
      <c r="C115" s="97"/>
      <c r="D115" s="97"/>
      <c r="E115" s="97"/>
      <c r="F115" s="97"/>
      <c r="G115" s="97"/>
      <c r="H115" s="97"/>
      <c r="J115" s="97"/>
      <c r="K115" s="97"/>
      <c r="L115" s="97"/>
      <c r="M115" s="97"/>
      <c r="N115" s="97"/>
      <c r="O115" s="97"/>
      <c r="P115" s="97"/>
    </row>
    <row r="116" spans="1:16" ht="15.75" customHeight="1" x14ac:dyDescent="0.2">
      <c r="A116" s="105"/>
      <c r="B116" s="97"/>
      <c r="C116" s="97"/>
      <c r="D116" s="97"/>
      <c r="E116" s="97"/>
      <c r="F116" s="97"/>
      <c r="G116" s="97"/>
      <c r="H116" s="97"/>
      <c r="J116" s="97"/>
      <c r="K116" s="97"/>
      <c r="L116" s="97"/>
      <c r="M116" s="97"/>
      <c r="N116" s="97"/>
      <c r="O116" s="97"/>
      <c r="P116" s="97"/>
    </row>
    <row r="117" spans="1:16" ht="15.75" customHeight="1" x14ac:dyDescent="0.2">
      <c r="A117" s="105"/>
      <c r="B117" s="97"/>
      <c r="C117" s="97"/>
      <c r="D117" s="97"/>
      <c r="E117" s="97"/>
      <c r="F117" s="97"/>
      <c r="G117" s="97"/>
      <c r="H117" s="97"/>
      <c r="J117" s="97"/>
      <c r="K117" s="97"/>
      <c r="L117" s="97"/>
      <c r="M117" s="97"/>
      <c r="N117" s="97"/>
      <c r="O117" s="97"/>
      <c r="P117" s="97"/>
    </row>
    <row r="118" spans="1:16" ht="15.75" customHeight="1" x14ac:dyDescent="0.2">
      <c r="A118" s="105"/>
      <c r="B118" s="97"/>
      <c r="C118" s="97"/>
      <c r="D118" s="97"/>
      <c r="E118" s="97"/>
      <c r="F118" s="97"/>
      <c r="G118" s="97"/>
      <c r="H118" s="97"/>
      <c r="J118" s="97"/>
      <c r="K118" s="97"/>
      <c r="L118" s="97"/>
      <c r="M118" s="97"/>
      <c r="N118" s="97"/>
      <c r="O118" s="97"/>
      <c r="P118" s="97"/>
    </row>
    <row r="119" spans="1:16" ht="15.75" customHeight="1" x14ac:dyDescent="0.2">
      <c r="A119" s="105"/>
      <c r="B119" s="97"/>
      <c r="C119" s="97"/>
      <c r="D119" s="97"/>
      <c r="E119" s="97"/>
      <c r="F119" s="97"/>
      <c r="G119" s="97"/>
      <c r="H119" s="97"/>
      <c r="J119" s="97"/>
      <c r="K119" s="97"/>
      <c r="L119" s="97"/>
      <c r="M119" s="97"/>
      <c r="N119" s="97"/>
      <c r="O119" s="97"/>
      <c r="P119" s="97"/>
    </row>
    <row r="120" spans="1:16" ht="15.75" customHeight="1" x14ac:dyDescent="0.2">
      <c r="A120" s="105"/>
      <c r="B120" s="97"/>
      <c r="C120" s="97"/>
      <c r="D120" s="97"/>
      <c r="E120" s="97"/>
      <c r="F120" s="97"/>
      <c r="G120" s="97"/>
      <c r="H120" s="97"/>
      <c r="J120" s="97"/>
      <c r="K120" s="97"/>
      <c r="L120" s="97"/>
      <c r="M120" s="97"/>
      <c r="N120" s="97"/>
      <c r="O120" s="97"/>
      <c r="P120" s="97"/>
    </row>
    <row r="121" spans="1:16" ht="15.75" customHeight="1" x14ac:dyDescent="0.2">
      <c r="A121" s="105"/>
      <c r="B121" s="97"/>
      <c r="C121" s="97"/>
      <c r="D121" s="97"/>
      <c r="E121" s="97"/>
      <c r="F121" s="97"/>
      <c r="G121" s="97"/>
      <c r="H121" s="97"/>
      <c r="J121" s="97"/>
      <c r="K121" s="97"/>
      <c r="L121" s="97"/>
      <c r="M121" s="97"/>
      <c r="N121" s="97"/>
      <c r="O121" s="97"/>
      <c r="P121" s="97"/>
    </row>
    <row r="122" spans="1:16" ht="15.75" customHeight="1" x14ac:dyDescent="0.2">
      <c r="A122" s="105"/>
      <c r="B122" s="97"/>
      <c r="C122" s="97"/>
      <c r="D122" s="97"/>
      <c r="E122" s="97"/>
      <c r="F122" s="97"/>
      <c r="G122" s="97"/>
      <c r="H122" s="97"/>
      <c r="J122" s="97"/>
      <c r="K122" s="97"/>
      <c r="L122" s="97"/>
      <c r="M122" s="97"/>
      <c r="N122" s="97"/>
      <c r="O122" s="97"/>
      <c r="P122" s="97"/>
    </row>
    <row r="123" spans="1:16" ht="15.75" customHeight="1" x14ac:dyDescent="0.2">
      <c r="A123" s="105"/>
      <c r="B123" s="97"/>
      <c r="C123" s="97"/>
      <c r="D123" s="97"/>
      <c r="E123" s="97"/>
      <c r="F123" s="97"/>
      <c r="G123" s="97"/>
      <c r="H123" s="97"/>
      <c r="J123" s="97"/>
      <c r="K123" s="97"/>
      <c r="L123" s="97"/>
      <c r="M123" s="97"/>
      <c r="N123" s="97"/>
      <c r="O123" s="97"/>
      <c r="P123" s="97"/>
    </row>
    <row r="124" spans="1:16" ht="15.75" customHeight="1" x14ac:dyDescent="0.2">
      <c r="A124" s="105"/>
      <c r="B124" s="97"/>
      <c r="C124" s="97"/>
      <c r="D124" s="97"/>
      <c r="E124" s="97"/>
      <c r="F124" s="97"/>
      <c r="G124" s="97"/>
      <c r="H124" s="97"/>
      <c r="J124" s="97"/>
      <c r="K124" s="97"/>
      <c r="L124" s="97"/>
      <c r="M124" s="97"/>
      <c r="N124" s="97"/>
      <c r="O124" s="97"/>
      <c r="P124" s="97"/>
    </row>
    <row r="125" spans="1:16" ht="15.75" customHeight="1" x14ac:dyDescent="0.2">
      <c r="A125" s="105"/>
      <c r="B125" s="97"/>
      <c r="C125" s="97"/>
      <c r="D125" s="97"/>
      <c r="E125" s="97"/>
      <c r="F125" s="97"/>
      <c r="G125" s="97"/>
      <c r="H125" s="97"/>
      <c r="J125" s="97"/>
      <c r="K125" s="97"/>
      <c r="L125" s="97"/>
      <c r="M125" s="97"/>
      <c r="N125" s="97"/>
      <c r="O125" s="97"/>
      <c r="P125" s="97"/>
    </row>
    <row r="126" spans="1:16" ht="15.75" customHeight="1" x14ac:dyDescent="0.2">
      <c r="A126" s="105"/>
      <c r="B126" s="97"/>
      <c r="C126" s="97"/>
      <c r="D126" s="97"/>
      <c r="E126" s="97"/>
      <c r="F126" s="97"/>
      <c r="G126" s="97"/>
      <c r="H126" s="97"/>
      <c r="J126" s="97"/>
      <c r="K126" s="97"/>
      <c r="L126" s="97"/>
      <c r="M126" s="97"/>
      <c r="N126" s="97"/>
      <c r="O126" s="97"/>
      <c r="P126" s="97"/>
    </row>
    <row r="127" spans="1:16" ht="15.75" customHeight="1" x14ac:dyDescent="0.2">
      <c r="A127" s="105"/>
      <c r="B127" s="97"/>
      <c r="C127" s="97"/>
      <c r="D127" s="97"/>
      <c r="E127" s="97"/>
      <c r="F127" s="97"/>
      <c r="G127" s="97"/>
      <c r="H127" s="97"/>
      <c r="J127" s="97"/>
      <c r="K127" s="97"/>
      <c r="L127" s="97"/>
      <c r="M127" s="97"/>
      <c r="N127" s="97"/>
      <c r="O127" s="97"/>
      <c r="P127" s="97"/>
    </row>
    <row r="128" spans="1:16" ht="15.75" customHeight="1" x14ac:dyDescent="0.2">
      <c r="A128" s="105"/>
      <c r="B128" s="97"/>
      <c r="C128" s="97"/>
      <c r="D128" s="97"/>
      <c r="E128" s="97"/>
      <c r="F128" s="97"/>
      <c r="G128" s="97"/>
      <c r="H128" s="97"/>
      <c r="J128" s="97"/>
      <c r="K128" s="97"/>
      <c r="L128" s="97"/>
      <c r="M128" s="97"/>
      <c r="N128" s="97"/>
      <c r="O128" s="97"/>
      <c r="P128" s="97"/>
    </row>
    <row r="129" spans="1:16" ht="15.75" customHeight="1" x14ac:dyDescent="0.2">
      <c r="A129" s="105"/>
      <c r="B129" s="97"/>
      <c r="C129" s="97"/>
      <c r="D129" s="97"/>
      <c r="E129" s="97"/>
      <c r="F129" s="97"/>
      <c r="G129" s="97"/>
      <c r="H129" s="97"/>
      <c r="J129" s="97"/>
      <c r="K129" s="97"/>
      <c r="L129" s="97"/>
      <c r="M129" s="97"/>
      <c r="N129" s="97"/>
      <c r="O129" s="97"/>
      <c r="P129" s="97"/>
    </row>
    <row r="130" spans="1:16" ht="15.75" customHeight="1" x14ac:dyDescent="0.2">
      <c r="A130" s="105"/>
      <c r="B130" s="97"/>
      <c r="C130" s="97"/>
      <c r="D130" s="97"/>
      <c r="E130" s="97"/>
      <c r="F130" s="97"/>
      <c r="G130" s="97"/>
      <c r="H130" s="97"/>
      <c r="J130" s="97"/>
      <c r="K130" s="97"/>
      <c r="L130" s="97"/>
      <c r="M130" s="97"/>
      <c r="N130" s="97"/>
      <c r="O130" s="97"/>
      <c r="P130" s="97"/>
    </row>
    <row r="131" spans="1:16" ht="15.75" customHeight="1" x14ac:dyDescent="0.2">
      <c r="A131" s="105"/>
      <c r="B131" s="97"/>
      <c r="C131" s="97"/>
      <c r="D131" s="97"/>
      <c r="E131" s="97"/>
      <c r="F131" s="97"/>
      <c r="G131" s="97"/>
      <c r="H131" s="97"/>
      <c r="J131" s="97"/>
      <c r="K131" s="97"/>
      <c r="L131" s="97"/>
      <c r="M131" s="97"/>
      <c r="N131" s="97"/>
      <c r="O131" s="97"/>
      <c r="P131" s="97"/>
    </row>
    <row r="132" spans="1:16" ht="15.75" customHeight="1" x14ac:dyDescent="0.2">
      <c r="A132" s="105"/>
      <c r="B132" s="97"/>
      <c r="C132" s="97"/>
      <c r="D132" s="97"/>
      <c r="E132" s="97"/>
      <c r="F132" s="97"/>
      <c r="G132" s="97"/>
      <c r="H132" s="97"/>
      <c r="J132" s="97"/>
      <c r="K132" s="97"/>
      <c r="L132" s="97"/>
      <c r="M132" s="97"/>
      <c r="N132" s="97"/>
      <c r="O132" s="97"/>
      <c r="P132" s="97"/>
    </row>
    <row r="133" spans="1:16" ht="15.75" customHeight="1" x14ac:dyDescent="0.2">
      <c r="A133" s="105"/>
      <c r="B133" s="97"/>
      <c r="C133" s="97"/>
      <c r="D133" s="97"/>
      <c r="E133" s="97"/>
      <c r="F133" s="97"/>
      <c r="G133" s="97"/>
      <c r="H133" s="97"/>
      <c r="J133" s="97"/>
      <c r="K133" s="97"/>
      <c r="L133" s="97"/>
      <c r="M133" s="97"/>
      <c r="N133" s="97"/>
      <c r="O133" s="97"/>
      <c r="P133" s="97"/>
    </row>
    <row r="134" spans="1:16" ht="15.75" customHeight="1" x14ac:dyDescent="0.2">
      <c r="A134" s="105"/>
      <c r="B134" s="97"/>
      <c r="C134" s="97"/>
      <c r="D134" s="97"/>
      <c r="E134" s="97"/>
      <c r="F134" s="97"/>
      <c r="G134" s="97"/>
      <c r="H134" s="97"/>
      <c r="J134" s="97"/>
      <c r="K134" s="97"/>
      <c r="L134" s="97"/>
      <c r="M134" s="97"/>
      <c r="N134" s="97"/>
      <c r="O134" s="97"/>
      <c r="P134" s="97"/>
    </row>
    <row r="135" spans="1:16" ht="15.75" customHeight="1" x14ac:dyDescent="0.2">
      <c r="A135" s="105"/>
      <c r="B135" s="97"/>
      <c r="C135" s="97"/>
      <c r="D135" s="97"/>
      <c r="E135" s="97"/>
      <c r="F135" s="97"/>
      <c r="G135" s="97"/>
      <c r="H135" s="97"/>
      <c r="J135" s="97"/>
      <c r="K135" s="97"/>
      <c r="L135" s="97"/>
      <c r="M135" s="97"/>
      <c r="N135" s="97"/>
      <c r="O135" s="97"/>
      <c r="P135" s="97"/>
    </row>
    <row r="136" spans="1:16" ht="15.75" customHeight="1" x14ac:dyDescent="0.2">
      <c r="A136" s="105"/>
      <c r="B136" s="97"/>
      <c r="C136" s="97"/>
      <c r="D136" s="97"/>
      <c r="E136" s="97"/>
      <c r="F136" s="97"/>
      <c r="G136" s="97"/>
      <c r="H136" s="97"/>
      <c r="J136" s="97"/>
      <c r="K136" s="97"/>
      <c r="L136" s="97"/>
      <c r="M136" s="97"/>
      <c r="N136" s="97"/>
      <c r="O136" s="97"/>
      <c r="P136" s="97"/>
    </row>
    <row r="137" spans="1:16" ht="15.75" customHeight="1" x14ac:dyDescent="0.2">
      <c r="A137" s="105"/>
      <c r="B137" s="97"/>
      <c r="C137" s="97"/>
      <c r="D137" s="97"/>
      <c r="E137" s="97"/>
      <c r="F137" s="97"/>
      <c r="G137" s="97"/>
      <c r="H137" s="97"/>
      <c r="J137" s="97"/>
      <c r="K137" s="97"/>
      <c r="L137" s="97"/>
      <c r="M137" s="97"/>
      <c r="N137" s="97"/>
      <c r="O137" s="97"/>
      <c r="P137" s="97"/>
    </row>
    <row r="138" spans="1:16" ht="15.75" customHeight="1" x14ac:dyDescent="0.2">
      <c r="A138" s="105"/>
      <c r="B138" s="97"/>
      <c r="C138" s="97"/>
      <c r="D138" s="97"/>
      <c r="E138" s="97"/>
      <c r="F138" s="97"/>
      <c r="G138" s="97"/>
      <c r="H138" s="97"/>
      <c r="J138" s="97"/>
      <c r="K138" s="97"/>
      <c r="L138" s="97"/>
      <c r="M138" s="97"/>
      <c r="N138" s="97"/>
      <c r="O138" s="97"/>
      <c r="P138" s="97"/>
    </row>
    <row r="139" spans="1:16" ht="15.75" customHeight="1" x14ac:dyDescent="0.2">
      <c r="A139" s="105"/>
      <c r="B139" s="97"/>
      <c r="C139" s="97"/>
      <c r="D139" s="97"/>
      <c r="E139" s="97"/>
      <c r="F139" s="97"/>
      <c r="G139" s="97"/>
      <c r="H139" s="97"/>
      <c r="J139" s="97"/>
      <c r="K139" s="97"/>
      <c r="L139" s="97"/>
      <c r="M139" s="97"/>
      <c r="N139" s="97"/>
      <c r="O139" s="97"/>
      <c r="P139" s="97"/>
    </row>
    <row r="140" spans="1:16" ht="15.75" customHeight="1" x14ac:dyDescent="0.2">
      <c r="A140" s="105"/>
      <c r="B140" s="97"/>
      <c r="C140" s="97"/>
      <c r="D140" s="97"/>
      <c r="E140" s="97"/>
      <c r="F140" s="97"/>
      <c r="G140" s="97"/>
      <c r="H140" s="97"/>
      <c r="J140" s="97"/>
      <c r="K140" s="97"/>
      <c r="L140" s="97"/>
      <c r="M140" s="97"/>
      <c r="N140" s="97"/>
      <c r="O140" s="97"/>
      <c r="P140" s="97"/>
    </row>
    <row r="141" spans="1:16" ht="15.75" customHeight="1" x14ac:dyDescent="0.2">
      <c r="A141" s="105"/>
      <c r="B141" s="97"/>
      <c r="C141" s="97"/>
      <c r="D141" s="97"/>
      <c r="E141" s="97"/>
      <c r="F141" s="97"/>
      <c r="G141" s="97"/>
      <c r="H141" s="97"/>
      <c r="J141" s="97"/>
      <c r="K141" s="97"/>
      <c r="L141" s="97"/>
      <c r="M141" s="97"/>
      <c r="N141" s="97"/>
      <c r="O141" s="97"/>
      <c r="P141" s="97"/>
    </row>
    <row r="142" spans="1:16" ht="15.75" customHeight="1" x14ac:dyDescent="0.2">
      <c r="A142" s="105"/>
      <c r="B142" s="97"/>
      <c r="C142" s="97"/>
      <c r="D142" s="97"/>
      <c r="E142" s="97"/>
      <c r="F142" s="97"/>
      <c r="G142" s="97"/>
      <c r="H142" s="97"/>
      <c r="J142" s="97"/>
      <c r="K142" s="97"/>
      <c r="L142" s="97"/>
      <c r="M142" s="97"/>
      <c r="N142" s="97"/>
      <c r="O142" s="97"/>
      <c r="P142" s="97"/>
    </row>
    <row r="143" spans="1:16" ht="15.75" customHeight="1" x14ac:dyDescent="0.2">
      <c r="A143" s="105"/>
      <c r="B143" s="97"/>
      <c r="C143" s="97"/>
      <c r="D143" s="97"/>
      <c r="E143" s="97"/>
      <c r="F143" s="97"/>
      <c r="G143" s="97"/>
      <c r="H143" s="97"/>
      <c r="J143" s="97"/>
      <c r="K143" s="97"/>
      <c r="L143" s="97"/>
      <c r="M143" s="97"/>
      <c r="N143" s="97"/>
      <c r="O143" s="97"/>
      <c r="P143" s="97"/>
    </row>
    <row r="144" spans="1:16" ht="15.75" customHeight="1" x14ac:dyDescent="0.2">
      <c r="A144" s="105"/>
      <c r="B144" s="97"/>
      <c r="C144" s="97"/>
      <c r="D144" s="97"/>
      <c r="E144" s="97"/>
      <c r="F144" s="97"/>
      <c r="G144" s="97"/>
      <c r="H144" s="97"/>
      <c r="J144" s="97"/>
      <c r="K144" s="97"/>
      <c r="L144" s="97"/>
      <c r="M144" s="97"/>
      <c r="N144" s="97"/>
      <c r="O144" s="97"/>
      <c r="P144" s="97"/>
    </row>
    <row r="145" spans="1:16" ht="15.75" customHeight="1" x14ac:dyDescent="0.2">
      <c r="A145" s="105"/>
      <c r="B145" s="97"/>
      <c r="C145" s="97"/>
      <c r="D145" s="97"/>
      <c r="E145" s="97"/>
      <c r="F145" s="97"/>
      <c r="G145" s="97"/>
      <c r="H145" s="97"/>
      <c r="J145" s="97"/>
      <c r="K145" s="97"/>
      <c r="L145" s="97"/>
      <c r="M145" s="97"/>
      <c r="N145" s="97"/>
      <c r="O145" s="97"/>
      <c r="P145" s="97"/>
    </row>
    <row r="146" spans="1:16" ht="15.75" customHeight="1" x14ac:dyDescent="0.2">
      <c r="A146" s="105"/>
      <c r="B146" s="97"/>
      <c r="C146" s="97"/>
      <c r="D146" s="97"/>
      <c r="E146" s="97"/>
      <c r="F146" s="97"/>
      <c r="G146" s="97"/>
      <c r="H146" s="97"/>
      <c r="J146" s="97"/>
      <c r="K146" s="97"/>
      <c r="L146" s="97"/>
      <c r="M146" s="97"/>
      <c r="N146" s="97"/>
      <c r="O146" s="97"/>
      <c r="P146" s="97"/>
    </row>
    <row r="147" spans="1:16" ht="15.75" customHeight="1" x14ac:dyDescent="0.2">
      <c r="A147" s="105"/>
      <c r="B147" s="97"/>
      <c r="C147" s="97"/>
      <c r="D147" s="97"/>
      <c r="E147" s="97"/>
      <c r="F147" s="97"/>
      <c r="G147" s="97"/>
      <c r="H147" s="97"/>
      <c r="J147" s="97"/>
      <c r="K147" s="97"/>
      <c r="L147" s="97"/>
      <c r="M147" s="97"/>
      <c r="N147" s="97"/>
      <c r="O147" s="97"/>
      <c r="P147" s="97"/>
    </row>
    <row r="148" spans="1:16" ht="15.75" customHeight="1" x14ac:dyDescent="0.2">
      <c r="A148" s="105"/>
      <c r="B148" s="97"/>
      <c r="C148" s="97"/>
      <c r="D148" s="97"/>
      <c r="E148" s="97"/>
      <c r="F148" s="97"/>
      <c r="G148" s="97"/>
      <c r="H148" s="97"/>
      <c r="J148" s="97"/>
      <c r="K148" s="97"/>
      <c r="L148" s="97"/>
      <c r="M148" s="97"/>
      <c r="N148" s="97"/>
      <c r="O148" s="97"/>
      <c r="P148" s="97"/>
    </row>
    <row r="149" spans="1:16" ht="15.75" customHeight="1" x14ac:dyDescent="0.2">
      <c r="A149" s="105"/>
      <c r="B149" s="97"/>
      <c r="C149" s="97"/>
      <c r="D149" s="97"/>
      <c r="E149" s="97"/>
      <c r="F149" s="97"/>
      <c r="G149" s="97"/>
      <c r="H149" s="97"/>
      <c r="J149" s="97"/>
      <c r="K149" s="97"/>
      <c r="L149" s="97"/>
      <c r="M149" s="97"/>
      <c r="N149" s="97"/>
      <c r="O149" s="97"/>
      <c r="P149" s="97"/>
    </row>
    <row r="150" spans="1:16" ht="15.75" customHeight="1" x14ac:dyDescent="0.2">
      <c r="A150" s="105"/>
      <c r="B150" s="97"/>
      <c r="C150" s="97"/>
      <c r="D150" s="97"/>
      <c r="E150" s="97"/>
      <c r="F150" s="97"/>
      <c r="G150" s="97"/>
      <c r="H150" s="97"/>
      <c r="J150" s="97"/>
      <c r="K150" s="97"/>
      <c r="L150" s="97"/>
      <c r="M150" s="97"/>
      <c r="N150" s="97"/>
      <c r="O150" s="97"/>
      <c r="P150" s="97"/>
    </row>
    <row r="151" spans="1:16" ht="15.75" customHeight="1" x14ac:dyDescent="0.2">
      <c r="A151" s="105"/>
      <c r="B151" s="97"/>
      <c r="C151" s="97"/>
      <c r="D151" s="97"/>
      <c r="E151" s="97"/>
      <c r="F151" s="97"/>
      <c r="G151" s="97"/>
      <c r="H151" s="97"/>
      <c r="J151" s="97"/>
      <c r="K151" s="97"/>
      <c r="L151" s="97"/>
      <c r="M151" s="97"/>
      <c r="N151" s="97"/>
      <c r="O151" s="97"/>
      <c r="P151" s="97"/>
    </row>
    <row r="152" spans="1:16" ht="15.75" customHeight="1" x14ac:dyDescent="0.2">
      <c r="A152" s="105"/>
      <c r="B152" s="97"/>
      <c r="C152" s="97"/>
      <c r="D152" s="97"/>
      <c r="E152" s="97"/>
      <c r="F152" s="97"/>
      <c r="G152" s="97"/>
      <c r="H152" s="97"/>
      <c r="J152" s="97"/>
      <c r="K152" s="97"/>
      <c r="L152" s="97"/>
      <c r="M152" s="97"/>
      <c r="N152" s="97"/>
      <c r="O152" s="97"/>
      <c r="P152" s="97"/>
    </row>
    <row r="153" spans="1:16" ht="15.75" customHeight="1" x14ac:dyDescent="0.2">
      <c r="A153" s="105"/>
      <c r="B153" s="97"/>
      <c r="C153" s="97"/>
      <c r="D153" s="97"/>
      <c r="E153" s="97"/>
      <c r="F153" s="97"/>
      <c r="G153" s="97"/>
      <c r="H153" s="97"/>
      <c r="J153" s="97"/>
      <c r="K153" s="97"/>
      <c r="L153" s="97"/>
      <c r="M153" s="97"/>
      <c r="N153" s="97"/>
      <c r="O153" s="97"/>
      <c r="P153" s="97"/>
    </row>
    <row r="154" spans="1:16" ht="15.75" customHeight="1" x14ac:dyDescent="0.2">
      <c r="A154" s="105"/>
      <c r="B154" s="97"/>
      <c r="C154" s="97"/>
      <c r="D154" s="97"/>
      <c r="E154" s="97"/>
      <c r="F154" s="97"/>
      <c r="G154" s="97"/>
      <c r="H154" s="97"/>
      <c r="J154" s="97"/>
      <c r="K154" s="97"/>
      <c r="L154" s="97"/>
      <c r="M154" s="97"/>
      <c r="N154" s="97"/>
      <c r="O154" s="97"/>
      <c r="P154" s="97"/>
    </row>
    <row r="155" spans="1:16" ht="15.75" customHeight="1" x14ac:dyDescent="0.2">
      <c r="A155" s="105"/>
      <c r="B155" s="97"/>
      <c r="C155" s="97"/>
      <c r="D155" s="97"/>
      <c r="E155" s="97"/>
      <c r="F155" s="97"/>
      <c r="G155" s="97"/>
      <c r="H155" s="97"/>
      <c r="J155" s="97"/>
      <c r="K155" s="97"/>
      <c r="L155" s="97"/>
      <c r="M155" s="97"/>
      <c r="N155" s="97"/>
      <c r="O155" s="97"/>
      <c r="P155" s="97"/>
    </row>
    <row r="156" spans="1:16" ht="15.75" customHeight="1" x14ac:dyDescent="0.2">
      <c r="A156" s="105"/>
      <c r="B156" s="97"/>
      <c r="C156" s="97"/>
      <c r="D156" s="97"/>
      <c r="E156" s="97"/>
      <c r="F156" s="97"/>
      <c r="G156" s="97"/>
      <c r="H156" s="97"/>
      <c r="J156" s="97"/>
      <c r="K156" s="97"/>
      <c r="L156" s="97"/>
      <c r="M156" s="97"/>
      <c r="N156" s="97"/>
      <c r="O156" s="97"/>
      <c r="P156" s="97"/>
    </row>
    <row r="157" spans="1:16" ht="15.75" customHeight="1" x14ac:dyDescent="0.2">
      <c r="A157" s="105"/>
      <c r="B157" s="97"/>
      <c r="C157" s="97"/>
      <c r="D157" s="97"/>
      <c r="E157" s="97"/>
      <c r="F157" s="97"/>
      <c r="G157" s="97"/>
      <c r="H157" s="97"/>
      <c r="J157" s="97"/>
      <c r="K157" s="97"/>
      <c r="L157" s="97"/>
      <c r="M157" s="97"/>
      <c r="N157" s="97"/>
      <c r="O157" s="97"/>
      <c r="P157" s="97"/>
    </row>
    <row r="158" spans="1:16" ht="15.75" customHeight="1" x14ac:dyDescent="0.2">
      <c r="A158" s="105"/>
      <c r="B158" s="97"/>
      <c r="C158" s="97"/>
      <c r="D158" s="97"/>
      <c r="E158" s="97"/>
      <c r="F158" s="97"/>
      <c r="G158" s="97"/>
      <c r="H158" s="97"/>
      <c r="J158" s="97"/>
      <c r="K158" s="97"/>
      <c r="L158" s="97"/>
      <c r="M158" s="97"/>
      <c r="N158" s="97"/>
      <c r="O158" s="97"/>
      <c r="P158" s="97"/>
    </row>
    <row r="159" spans="1:16" ht="15.75" customHeight="1" x14ac:dyDescent="0.2">
      <c r="A159" s="105"/>
      <c r="B159" s="97"/>
      <c r="C159" s="97"/>
      <c r="D159" s="97"/>
      <c r="E159" s="97"/>
      <c r="F159" s="97"/>
      <c r="G159" s="97"/>
      <c r="H159" s="97"/>
      <c r="J159" s="97"/>
      <c r="K159" s="97"/>
      <c r="L159" s="97"/>
      <c r="M159" s="97"/>
      <c r="N159" s="97"/>
      <c r="O159" s="97"/>
      <c r="P159" s="97"/>
    </row>
    <row r="160" spans="1:16" ht="15.75" customHeight="1" x14ac:dyDescent="0.2">
      <c r="A160" s="105"/>
      <c r="B160" s="97"/>
      <c r="C160" s="97"/>
      <c r="D160" s="97"/>
      <c r="E160" s="97"/>
      <c r="F160" s="97"/>
      <c r="G160" s="97"/>
      <c r="H160" s="97"/>
      <c r="J160" s="97"/>
      <c r="K160" s="97"/>
      <c r="L160" s="97"/>
      <c r="M160" s="97"/>
      <c r="N160" s="97"/>
      <c r="O160" s="97"/>
      <c r="P160" s="97"/>
    </row>
    <row r="161" spans="1:16" ht="15.75" customHeight="1" x14ac:dyDescent="0.2">
      <c r="A161" s="105"/>
      <c r="B161" s="97"/>
      <c r="C161" s="97"/>
      <c r="D161" s="97"/>
      <c r="E161" s="97"/>
      <c r="F161" s="97"/>
      <c r="G161" s="97"/>
      <c r="H161" s="97"/>
      <c r="J161" s="97"/>
      <c r="K161" s="97"/>
      <c r="L161" s="97"/>
      <c r="M161" s="97"/>
      <c r="N161" s="97"/>
      <c r="O161" s="97"/>
      <c r="P161" s="97"/>
    </row>
    <row r="162" spans="1:16" ht="15.75" customHeight="1" x14ac:dyDescent="0.2">
      <c r="A162" s="105"/>
      <c r="B162" s="97"/>
      <c r="C162" s="97"/>
      <c r="D162" s="97"/>
      <c r="E162" s="97"/>
      <c r="F162" s="97"/>
      <c r="G162" s="97"/>
      <c r="H162" s="97"/>
      <c r="J162" s="97"/>
      <c r="K162" s="97"/>
      <c r="L162" s="97"/>
      <c r="M162" s="97"/>
      <c r="N162" s="97"/>
      <c r="O162" s="97"/>
      <c r="P162" s="97"/>
    </row>
    <row r="163" spans="1:16" ht="15.75" customHeight="1" x14ac:dyDescent="0.2">
      <c r="A163" s="105"/>
      <c r="B163" s="97"/>
      <c r="C163" s="97"/>
      <c r="D163" s="97"/>
      <c r="E163" s="97"/>
      <c r="F163" s="97"/>
      <c r="G163" s="97"/>
      <c r="H163" s="97"/>
      <c r="J163" s="97"/>
      <c r="K163" s="97"/>
      <c r="L163" s="97"/>
      <c r="M163" s="97"/>
      <c r="N163" s="97"/>
      <c r="O163" s="97"/>
      <c r="P163" s="97"/>
    </row>
    <row r="164" spans="1:16" ht="15.75" customHeight="1" x14ac:dyDescent="0.2">
      <c r="A164" s="105"/>
      <c r="B164" s="97"/>
      <c r="C164" s="97"/>
      <c r="D164" s="97"/>
      <c r="E164" s="97"/>
      <c r="F164" s="97"/>
      <c r="G164" s="97"/>
      <c r="H164" s="97"/>
      <c r="J164" s="97"/>
      <c r="K164" s="97"/>
      <c r="L164" s="97"/>
      <c r="M164" s="97"/>
      <c r="N164" s="97"/>
      <c r="O164" s="97"/>
      <c r="P164" s="97"/>
    </row>
    <row r="165" spans="1:16" ht="15.75" customHeight="1" x14ac:dyDescent="0.2">
      <c r="A165" s="105"/>
      <c r="B165" s="97"/>
      <c r="C165" s="97"/>
      <c r="D165" s="97"/>
      <c r="E165" s="97"/>
      <c r="F165" s="97"/>
      <c r="G165" s="97"/>
      <c r="H165" s="97"/>
      <c r="J165" s="97"/>
      <c r="K165" s="97"/>
      <c r="L165" s="97"/>
      <c r="M165" s="97"/>
      <c r="N165" s="97"/>
      <c r="O165" s="97"/>
      <c r="P165" s="97"/>
    </row>
    <row r="166" spans="1:16" ht="15.75" customHeight="1" x14ac:dyDescent="0.2">
      <c r="A166" s="105"/>
      <c r="B166" s="97"/>
      <c r="C166" s="97"/>
      <c r="D166" s="97"/>
      <c r="E166" s="97"/>
      <c r="F166" s="97"/>
      <c r="G166" s="97"/>
      <c r="H166" s="97"/>
      <c r="J166" s="97"/>
      <c r="K166" s="97"/>
      <c r="L166" s="97"/>
      <c r="M166" s="97"/>
      <c r="N166" s="97"/>
      <c r="O166" s="97"/>
      <c r="P166" s="97"/>
    </row>
    <row r="167" spans="1:16" ht="15.75" customHeight="1" x14ac:dyDescent="0.2">
      <c r="A167" s="105"/>
      <c r="B167" s="97"/>
      <c r="C167" s="97"/>
      <c r="D167" s="97"/>
      <c r="E167" s="97"/>
      <c r="F167" s="97"/>
      <c r="G167" s="97"/>
      <c r="H167" s="97"/>
      <c r="J167" s="97"/>
      <c r="K167" s="97"/>
      <c r="L167" s="97"/>
      <c r="M167" s="97"/>
      <c r="N167" s="97"/>
      <c r="O167" s="97"/>
      <c r="P167" s="97"/>
    </row>
    <row r="168" spans="1:16" ht="15.75" customHeight="1" x14ac:dyDescent="0.2">
      <c r="A168" s="105"/>
      <c r="B168" s="97"/>
      <c r="C168" s="97"/>
      <c r="D168" s="97"/>
      <c r="E168" s="97"/>
      <c r="F168" s="97"/>
      <c r="G168" s="97"/>
      <c r="H168" s="97"/>
      <c r="J168" s="97"/>
      <c r="K168" s="97"/>
      <c r="L168" s="97"/>
      <c r="M168" s="97"/>
      <c r="N168" s="97"/>
      <c r="O168" s="97"/>
      <c r="P168" s="97"/>
    </row>
    <row r="169" spans="1:16" ht="15.75" customHeight="1" x14ac:dyDescent="0.2">
      <c r="A169" s="105"/>
      <c r="B169" s="97"/>
      <c r="C169" s="97"/>
      <c r="D169" s="97"/>
      <c r="E169" s="97"/>
      <c r="F169" s="97"/>
      <c r="G169" s="97"/>
      <c r="H169" s="97"/>
      <c r="J169" s="97"/>
      <c r="K169" s="97"/>
      <c r="L169" s="97"/>
      <c r="M169" s="97"/>
      <c r="N169" s="97"/>
      <c r="O169" s="97"/>
      <c r="P169" s="97"/>
    </row>
    <row r="170" spans="1:16" ht="15.75" customHeight="1" x14ac:dyDescent="0.2">
      <c r="A170" s="105"/>
      <c r="B170" s="97"/>
      <c r="C170" s="97"/>
      <c r="D170" s="97"/>
      <c r="E170" s="97"/>
      <c r="F170" s="97"/>
      <c r="G170" s="97"/>
      <c r="H170" s="97"/>
      <c r="J170" s="97"/>
      <c r="K170" s="97"/>
      <c r="L170" s="97"/>
      <c r="M170" s="97"/>
      <c r="N170" s="97"/>
      <c r="O170" s="97"/>
      <c r="P170" s="97"/>
    </row>
    <row r="171" spans="1:16" ht="15.75" customHeight="1" x14ac:dyDescent="0.2">
      <c r="A171" s="105"/>
      <c r="B171" s="97"/>
      <c r="C171" s="97"/>
      <c r="D171" s="97"/>
      <c r="E171" s="97"/>
      <c r="F171" s="97"/>
      <c r="G171" s="97"/>
      <c r="H171" s="97"/>
      <c r="J171" s="97"/>
      <c r="K171" s="97"/>
      <c r="L171" s="97"/>
      <c r="M171" s="97"/>
      <c r="N171" s="97"/>
      <c r="O171" s="97"/>
      <c r="P171" s="97"/>
    </row>
    <row r="172" spans="1:16" ht="15.75" customHeight="1" x14ac:dyDescent="0.2">
      <c r="A172" s="105"/>
      <c r="B172" s="97"/>
      <c r="C172" s="97"/>
      <c r="D172" s="97"/>
      <c r="E172" s="97"/>
      <c r="F172" s="97"/>
      <c r="G172" s="97"/>
      <c r="H172" s="97"/>
      <c r="J172" s="97"/>
      <c r="K172" s="97"/>
      <c r="L172" s="97"/>
      <c r="M172" s="97"/>
      <c r="N172" s="97"/>
      <c r="O172" s="97"/>
      <c r="P172" s="97"/>
    </row>
    <row r="173" spans="1:16" ht="15.75" customHeight="1" x14ac:dyDescent="0.2">
      <c r="A173" s="105"/>
      <c r="B173" s="97"/>
      <c r="C173" s="97"/>
      <c r="D173" s="97"/>
      <c r="E173" s="97"/>
      <c r="F173" s="97"/>
      <c r="G173" s="97"/>
      <c r="H173" s="97"/>
      <c r="J173" s="97"/>
      <c r="K173" s="97"/>
      <c r="L173" s="97"/>
      <c r="M173" s="97"/>
      <c r="N173" s="97"/>
      <c r="O173" s="97"/>
      <c r="P173" s="97"/>
    </row>
    <row r="174" spans="1:16" ht="15.75" customHeight="1" x14ac:dyDescent="0.2">
      <c r="A174" s="105"/>
      <c r="B174" s="97"/>
      <c r="C174" s="97"/>
      <c r="D174" s="97"/>
      <c r="E174" s="97"/>
      <c r="F174" s="97"/>
      <c r="G174" s="97"/>
      <c r="H174" s="97"/>
      <c r="J174" s="97"/>
      <c r="K174" s="97"/>
      <c r="L174" s="97"/>
      <c r="M174" s="97"/>
      <c r="N174" s="97"/>
      <c r="O174" s="97"/>
      <c r="P174" s="97"/>
    </row>
    <row r="175" spans="1:16" ht="15.75" customHeight="1" x14ac:dyDescent="0.2">
      <c r="A175" s="105"/>
      <c r="B175" s="97"/>
      <c r="C175" s="97"/>
      <c r="D175" s="97"/>
      <c r="E175" s="97"/>
      <c r="F175" s="97"/>
      <c r="G175" s="97"/>
      <c r="H175" s="97"/>
      <c r="J175" s="97"/>
      <c r="K175" s="97"/>
      <c r="L175" s="97"/>
      <c r="M175" s="97"/>
      <c r="N175" s="97"/>
      <c r="O175" s="97"/>
      <c r="P175" s="97"/>
    </row>
    <row r="176" spans="1:16" ht="15.75" customHeight="1" x14ac:dyDescent="0.2">
      <c r="A176" s="105"/>
      <c r="B176" s="97"/>
      <c r="C176" s="97"/>
      <c r="D176" s="97"/>
      <c r="E176" s="97"/>
      <c r="F176" s="97"/>
      <c r="G176" s="97"/>
      <c r="H176" s="97"/>
      <c r="J176" s="97"/>
      <c r="K176" s="97"/>
      <c r="L176" s="97"/>
      <c r="M176" s="97"/>
      <c r="N176" s="97"/>
      <c r="O176" s="97"/>
      <c r="P176" s="97"/>
    </row>
    <row r="177" spans="1:16" ht="15.75" customHeight="1" x14ac:dyDescent="0.2">
      <c r="A177" s="105"/>
      <c r="B177" s="97"/>
      <c r="C177" s="97"/>
      <c r="D177" s="97"/>
      <c r="E177" s="97"/>
      <c r="F177" s="97"/>
      <c r="G177" s="97"/>
      <c r="H177" s="97"/>
      <c r="J177" s="97"/>
      <c r="K177" s="97"/>
      <c r="L177" s="97"/>
      <c r="M177" s="97"/>
      <c r="N177" s="97"/>
      <c r="O177" s="97"/>
      <c r="P177" s="97"/>
    </row>
    <row r="178" spans="1:16" ht="15.75" customHeight="1" x14ac:dyDescent="0.2">
      <c r="A178" s="105"/>
      <c r="B178" s="97"/>
      <c r="C178" s="97"/>
      <c r="D178" s="97"/>
      <c r="E178" s="97"/>
      <c r="F178" s="97"/>
      <c r="G178" s="97"/>
      <c r="H178" s="97"/>
      <c r="J178" s="97"/>
      <c r="K178" s="97"/>
      <c r="L178" s="97"/>
      <c r="M178" s="97"/>
      <c r="N178" s="97"/>
      <c r="O178" s="97"/>
      <c r="P178" s="97"/>
    </row>
    <row r="179" spans="1:16" ht="15.75" customHeight="1" x14ac:dyDescent="0.2">
      <c r="A179" s="105"/>
      <c r="B179" s="97"/>
      <c r="C179" s="97"/>
      <c r="D179" s="97"/>
      <c r="E179" s="97"/>
      <c r="F179" s="97"/>
      <c r="G179" s="97"/>
      <c r="H179" s="97"/>
      <c r="J179" s="97"/>
      <c r="K179" s="97"/>
      <c r="L179" s="97"/>
      <c r="M179" s="97"/>
      <c r="N179" s="97"/>
      <c r="O179" s="97"/>
      <c r="P179" s="97"/>
    </row>
    <row r="180" spans="1:16" ht="15.75" customHeight="1" x14ac:dyDescent="0.2">
      <c r="A180" s="105"/>
      <c r="B180" s="97"/>
      <c r="C180" s="97"/>
      <c r="D180" s="97"/>
      <c r="E180" s="97"/>
      <c r="F180" s="97"/>
      <c r="G180" s="97"/>
      <c r="H180" s="97"/>
      <c r="J180" s="97"/>
      <c r="K180" s="97"/>
      <c r="L180" s="97"/>
      <c r="M180" s="97"/>
      <c r="N180" s="97"/>
      <c r="O180" s="97"/>
      <c r="P180" s="97"/>
    </row>
    <row r="181" spans="1:16" ht="15.75" customHeight="1" x14ac:dyDescent="0.2">
      <c r="A181" s="105"/>
      <c r="B181" s="97"/>
      <c r="C181" s="97"/>
      <c r="D181" s="97"/>
      <c r="E181" s="97"/>
      <c r="F181" s="97"/>
      <c r="G181" s="97"/>
      <c r="H181" s="97"/>
      <c r="J181" s="97"/>
      <c r="K181" s="97"/>
      <c r="L181" s="97"/>
      <c r="M181" s="97"/>
      <c r="N181" s="97"/>
      <c r="O181" s="97"/>
      <c r="P181" s="97"/>
    </row>
    <row r="182" spans="1:16" ht="15.75" customHeight="1" x14ac:dyDescent="0.2">
      <c r="A182" s="105"/>
      <c r="B182" s="97"/>
      <c r="C182" s="97"/>
      <c r="D182" s="97"/>
      <c r="E182" s="97"/>
      <c r="F182" s="97"/>
      <c r="G182" s="97"/>
      <c r="H182" s="97"/>
      <c r="J182" s="97"/>
      <c r="K182" s="97"/>
      <c r="L182" s="97"/>
      <c r="M182" s="97"/>
      <c r="N182" s="97"/>
      <c r="O182" s="97"/>
      <c r="P182" s="97"/>
    </row>
    <row r="183" spans="1:16" ht="15.75" customHeight="1" x14ac:dyDescent="0.2">
      <c r="A183" s="105"/>
      <c r="B183" s="97"/>
      <c r="C183" s="97"/>
      <c r="D183" s="97"/>
      <c r="E183" s="97"/>
      <c r="F183" s="97"/>
      <c r="G183" s="97"/>
      <c r="H183" s="97"/>
      <c r="J183" s="97"/>
      <c r="K183" s="97"/>
      <c r="L183" s="97"/>
      <c r="M183" s="97"/>
      <c r="N183" s="97"/>
      <c r="O183" s="97"/>
      <c r="P183" s="97"/>
    </row>
    <row r="184" spans="1:16" ht="15.75" customHeight="1" x14ac:dyDescent="0.2">
      <c r="A184" s="105"/>
      <c r="B184" s="97"/>
      <c r="C184" s="97"/>
      <c r="D184" s="97"/>
      <c r="E184" s="97"/>
      <c r="F184" s="97"/>
      <c r="G184" s="97"/>
      <c r="H184" s="97"/>
      <c r="J184" s="97"/>
      <c r="K184" s="97"/>
      <c r="L184" s="97"/>
      <c r="M184" s="97"/>
      <c r="N184" s="97"/>
      <c r="O184" s="97"/>
      <c r="P184" s="97"/>
    </row>
    <row r="185" spans="1:16" ht="15.75" customHeight="1" x14ac:dyDescent="0.2">
      <c r="A185" s="105"/>
      <c r="B185" s="97"/>
      <c r="C185" s="97"/>
      <c r="D185" s="97"/>
      <c r="E185" s="97"/>
      <c r="F185" s="97"/>
      <c r="G185" s="97"/>
      <c r="H185" s="97"/>
      <c r="J185" s="97"/>
      <c r="K185" s="97"/>
      <c r="L185" s="97"/>
      <c r="M185" s="97"/>
      <c r="N185" s="97"/>
      <c r="O185" s="97"/>
      <c r="P185" s="97"/>
    </row>
    <row r="186" spans="1:16" ht="15.75" customHeight="1" x14ac:dyDescent="0.2">
      <c r="A186" s="105"/>
      <c r="B186" s="97"/>
      <c r="C186" s="97"/>
      <c r="D186" s="97"/>
      <c r="E186" s="97"/>
      <c r="F186" s="97"/>
      <c r="G186" s="97"/>
      <c r="H186" s="97"/>
      <c r="J186" s="97"/>
      <c r="K186" s="97"/>
      <c r="L186" s="97"/>
      <c r="M186" s="97"/>
      <c r="N186" s="97"/>
      <c r="O186" s="97"/>
      <c r="P186" s="97"/>
    </row>
    <row r="187" spans="1:16" ht="15.75" customHeight="1" x14ac:dyDescent="0.2">
      <c r="A187" s="105"/>
      <c r="B187" s="97"/>
      <c r="C187" s="97"/>
      <c r="D187" s="97"/>
      <c r="E187" s="97"/>
      <c r="F187" s="97"/>
      <c r="G187" s="97"/>
      <c r="H187" s="97"/>
      <c r="J187" s="97"/>
      <c r="K187" s="97"/>
      <c r="L187" s="97"/>
      <c r="M187" s="97"/>
      <c r="N187" s="97"/>
      <c r="O187" s="97"/>
      <c r="P187" s="97"/>
    </row>
    <row r="188" spans="1:16" ht="15.75" customHeight="1" x14ac:dyDescent="0.2">
      <c r="A188" s="105"/>
      <c r="B188" s="97"/>
      <c r="C188" s="97"/>
      <c r="D188" s="97"/>
      <c r="E188" s="97"/>
      <c r="F188" s="97"/>
      <c r="G188" s="97"/>
      <c r="H188" s="97"/>
      <c r="J188" s="97"/>
      <c r="K188" s="97"/>
      <c r="L188" s="97"/>
      <c r="M188" s="97"/>
      <c r="N188" s="97"/>
      <c r="O188" s="97"/>
      <c r="P188" s="97"/>
    </row>
    <row r="189" spans="1:16" ht="15.75" customHeight="1" x14ac:dyDescent="0.2">
      <c r="A189" s="105"/>
      <c r="B189" s="97"/>
      <c r="C189" s="97"/>
      <c r="D189" s="97"/>
      <c r="E189" s="97"/>
      <c r="F189" s="97"/>
      <c r="G189" s="97"/>
      <c r="H189" s="97"/>
      <c r="J189" s="97"/>
      <c r="K189" s="97"/>
      <c r="L189" s="97"/>
      <c r="M189" s="97"/>
      <c r="N189" s="97"/>
      <c r="O189" s="97"/>
      <c r="P189" s="97"/>
    </row>
    <row r="190" spans="1:16" ht="15.75" customHeight="1" x14ac:dyDescent="0.2">
      <c r="A190" s="105"/>
      <c r="B190" s="97"/>
      <c r="C190" s="97"/>
      <c r="D190" s="97"/>
      <c r="E190" s="97"/>
      <c r="F190" s="97"/>
      <c r="G190" s="97"/>
      <c r="H190" s="97"/>
      <c r="J190" s="97"/>
      <c r="K190" s="97"/>
      <c r="L190" s="97"/>
      <c r="M190" s="97"/>
      <c r="N190" s="97"/>
      <c r="O190" s="97"/>
      <c r="P190" s="97"/>
    </row>
    <row r="191" spans="1:16" ht="15.75" customHeight="1" x14ac:dyDescent="0.2">
      <c r="A191" s="105"/>
      <c r="B191" s="97"/>
      <c r="C191" s="97"/>
      <c r="D191" s="97"/>
      <c r="E191" s="97"/>
      <c r="F191" s="97"/>
      <c r="G191" s="97"/>
      <c r="H191" s="97"/>
      <c r="J191" s="97"/>
      <c r="K191" s="97"/>
      <c r="L191" s="97"/>
      <c r="M191" s="97"/>
      <c r="N191" s="97"/>
      <c r="O191" s="97"/>
      <c r="P191" s="97"/>
    </row>
    <row r="192" spans="1:16" ht="15.75" customHeight="1" x14ac:dyDescent="0.2">
      <c r="A192" s="105"/>
      <c r="B192" s="97"/>
      <c r="C192" s="97"/>
      <c r="D192" s="97"/>
      <c r="E192" s="97"/>
      <c r="F192" s="97"/>
      <c r="G192" s="97"/>
      <c r="H192" s="97"/>
      <c r="J192" s="97"/>
      <c r="K192" s="97"/>
      <c r="L192" s="97"/>
      <c r="M192" s="97"/>
      <c r="N192" s="97"/>
      <c r="O192" s="97"/>
      <c r="P192" s="97"/>
    </row>
    <row r="193" spans="1:16" ht="15.75" customHeight="1" x14ac:dyDescent="0.2">
      <c r="A193" s="105"/>
      <c r="B193" s="97"/>
      <c r="C193" s="97"/>
      <c r="D193" s="97"/>
      <c r="E193" s="97"/>
      <c r="F193" s="97"/>
      <c r="G193" s="97"/>
      <c r="H193" s="97"/>
      <c r="J193" s="97"/>
      <c r="K193" s="97"/>
      <c r="L193" s="97"/>
      <c r="M193" s="97"/>
      <c r="N193" s="97"/>
      <c r="O193" s="97"/>
      <c r="P193" s="97"/>
    </row>
    <row r="194" spans="1:16" ht="15.75" customHeight="1" x14ac:dyDescent="0.2">
      <c r="A194" s="105"/>
      <c r="B194" s="97"/>
      <c r="C194" s="97"/>
      <c r="D194" s="97"/>
      <c r="E194" s="97"/>
      <c r="F194" s="97"/>
      <c r="G194" s="97"/>
      <c r="H194" s="97"/>
      <c r="J194" s="97"/>
      <c r="K194" s="97"/>
      <c r="L194" s="97"/>
      <c r="M194" s="97"/>
      <c r="N194" s="97"/>
      <c r="O194" s="97"/>
      <c r="P194" s="97"/>
    </row>
    <row r="195" spans="1:16" ht="15.75" customHeight="1" x14ac:dyDescent="0.2">
      <c r="A195" s="105"/>
      <c r="B195" s="97"/>
      <c r="C195" s="97"/>
      <c r="D195" s="97"/>
      <c r="E195" s="97"/>
      <c r="F195" s="97"/>
      <c r="G195" s="97"/>
      <c r="H195" s="97"/>
      <c r="J195" s="97"/>
      <c r="K195" s="97"/>
      <c r="L195" s="97"/>
      <c r="M195" s="97"/>
      <c r="N195" s="97"/>
      <c r="O195" s="97"/>
      <c r="P195" s="97"/>
    </row>
    <row r="196" spans="1:16" ht="15.75" customHeight="1" x14ac:dyDescent="0.2">
      <c r="A196" s="105"/>
      <c r="B196" s="97"/>
      <c r="C196" s="97"/>
      <c r="D196" s="97"/>
      <c r="E196" s="97"/>
      <c r="F196" s="97"/>
      <c r="G196" s="97"/>
      <c r="H196" s="97"/>
      <c r="J196" s="97"/>
      <c r="K196" s="97"/>
      <c r="L196" s="97"/>
      <c r="M196" s="97"/>
      <c r="N196" s="97"/>
      <c r="O196" s="97"/>
      <c r="P196" s="97"/>
    </row>
    <row r="197" spans="1:16" ht="15.75" customHeight="1" x14ac:dyDescent="0.2">
      <c r="A197" s="105"/>
      <c r="B197" s="97"/>
      <c r="C197" s="97"/>
      <c r="D197" s="97"/>
      <c r="E197" s="97"/>
      <c r="F197" s="97"/>
      <c r="G197" s="97"/>
      <c r="H197" s="97"/>
      <c r="J197" s="97"/>
      <c r="K197" s="97"/>
      <c r="L197" s="97"/>
      <c r="M197" s="97"/>
      <c r="N197" s="97"/>
      <c r="O197" s="97"/>
      <c r="P197" s="97"/>
    </row>
    <row r="198" spans="1:16" ht="15.75" customHeight="1" x14ac:dyDescent="0.2">
      <c r="A198" s="105"/>
      <c r="B198" s="97"/>
      <c r="C198" s="97"/>
      <c r="D198" s="97"/>
      <c r="E198" s="97"/>
      <c r="F198" s="97"/>
      <c r="G198" s="97"/>
      <c r="H198" s="97"/>
      <c r="J198" s="97"/>
      <c r="K198" s="97"/>
      <c r="L198" s="97"/>
      <c r="M198" s="97"/>
      <c r="N198" s="97"/>
      <c r="O198" s="97"/>
      <c r="P198" s="97"/>
    </row>
    <row r="199" spans="1:16" ht="15.75" customHeight="1" x14ac:dyDescent="0.2">
      <c r="A199" s="105"/>
      <c r="B199" s="97"/>
      <c r="C199" s="97"/>
      <c r="D199" s="97"/>
      <c r="E199" s="97"/>
      <c r="F199" s="97"/>
      <c r="G199" s="97"/>
      <c r="H199" s="97"/>
      <c r="J199" s="97"/>
      <c r="K199" s="97"/>
      <c r="L199" s="97"/>
      <c r="M199" s="97"/>
      <c r="N199" s="97"/>
      <c r="O199" s="97"/>
      <c r="P199" s="97"/>
    </row>
    <row r="200" spans="1:16" ht="15.75" customHeight="1" x14ac:dyDescent="0.2">
      <c r="A200" s="105"/>
      <c r="B200" s="97"/>
      <c r="C200" s="97"/>
      <c r="D200" s="97"/>
      <c r="E200" s="97"/>
      <c r="F200" s="97"/>
      <c r="G200" s="97"/>
      <c r="H200" s="97"/>
      <c r="J200" s="97"/>
      <c r="K200" s="97"/>
      <c r="L200" s="97"/>
      <c r="M200" s="97"/>
      <c r="N200" s="97"/>
      <c r="O200" s="97"/>
      <c r="P200" s="97"/>
    </row>
    <row r="201" spans="1:16" ht="15.75" customHeight="1" x14ac:dyDescent="0.2">
      <c r="A201" s="105"/>
      <c r="B201" s="97"/>
      <c r="C201" s="97"/>
      <c r="D201" s="97"/>
      <c r="E201" s="97"/>
      <c r="F201" s="97"/>
      <c r="G201" s="97"/>
      <c r="H201" s="97"/>
      <c r="J201" s="97"/>
      <c r="K201" s="97"/>
      <c r="L201" s="97"/>
      <c r="M201" s="97"/>
      <c r="N201" s="97"/>
      <c r="O201" s="97"/>
      <c r="P201" s="97"/>
    </row>
    <row r="202" spans="1:16" ht="15.75" customHeight="1" x14ac:dyDescent="0.2">
      <c r="A202" s="105"/>
      <c r="B202" s="97"/>
      <c r="C202" s="97"/>
      <c r="D202" s="97"/>
      <c r="E202" s="97"/>
      <c r="F202" s="97"/>
      <c r="G202" s="97"/>
      <c r="H202" s="97"/>
      <c r="J202" s="97"/>
      <c r="K202" s="97"/>
      <c r="L202" s="97"/>
      <c r="M202" s="97"/>
      <c r="N202" s="97"/>
      <c r="O202" s="97"/>
      <c r="P202" s="97"/>
    </row>
    <row r="203" spans="1:16" ht="15.75" customHeight="1" x14ac:dyDescent="0.2">
      <c r="A203" s="105"/>
      <c r="B203" s="97"/>
      <c r="C203" s="97"/>
      <c r="D203" s="97"/>
      <c r="E203" s="97"/>
      <c r="F203" s="97"/>
      <c r="G203" s="97"/>
      <c r="H203" s="97"/>
      <c r="J203" s="97"/>
      <c r="K203" s="97"/>
      <c r="L203" s="97"/>
      <c r="M203" s="97"/>
      <c r="N203" s="97"/>
      <c r="O203" s="97"/>
      <c r="P203" s="97"/>
    </row>
    <row r="204" spans="1:16" ht="15.75" customHeight="1" x14ac:dyDescent="0.2">
      <c r="A204" s="105"/>
      <c r="B204" s="97"/>
      <c r="C204" s="97"/>
      <c r="D204" s="97"/>
      <c r="E204" s="97"/>
      <c r="F204" s="97"/>
      <c r="G204" s="97"/>
      <c r="H204" s="97"/>
      <c r="J204" s="97"/>
      <c r="K204" s="97"/>
      <c r="L204" s="97"/>
      <c r="M204" s="97"/>
      <c r="N204" s="97"/>
      <c r="O204" s="97"/>
      <c r="P204" s="97"/>
    </row>
    <row r="205" spans="1:16" ht="15.75" customHeight="1" x14ac:dyDescent="0.2">
      <c r="A205" s="105"/>
      <c r="B205" s="97"/>
      <c r="C205" s="97"/>
      <c r="D205" s="97"/>
      <c r="E205" s="97"/>
      <c r="F205" s="97"/>
      <c r="G205" s="97"/>
      <c r="H205" s="97"/>
      <c r="J205" s="97"/>
      <c r="K205" s="97"/>
      <c r="L205" s="97"/>
      <c r="M205" s="97"/>
      <c r="N205" s="97"/>
      <c r="O205" s="97"/>
      <c r="P205" s="97"/>
    </row>
    <row r="206" spans="1:16" ht="15.75" customHeight="1" x14ac:dyDescent="0.2">
      <c r="A206" s="105"/>
      <c r="B206" s="97"/>
      <c r="C206" s="97"/>
      <c r="D206" s="97"/>
      <c r="E206" s="97"/>
      <c r="F206" s="97"/>
      <c r="G206" s="97"/>
      <c r="H206" s="97"/>
      <c r="J206" s="97"/>
      <c r="K206" s="97"/>
      <c r="L206" s="97"/>
      <c r="M206" s="97"/>
      <c r="N206" s="97"/>
      <c r="O206" s="97"/>
      <c r="P206" s="97"/>
    </row>
    <row r="207" spans="1:16" ht="15.75" customHeight="1" x14ac:dyDescent="0.2">
      <c r="A207" s="105"/>
      <c r="B207" s="97"/>
      <c r="C207" s="97"/>
      <c r="D207" s="97"/>
      <c r="E207" s="97"/>
      <c r="F207" s="97"/>
      <c r="G207" s="97"/>
      <c r="H207" s="97"/>
      <c r="J207" s="97"/>
      <c r="K207" s="97"/>
      <c r="L207" s="97"/>
      <c r="M207" s="97"/>
      <c r="N207" s="97"/>
      <c r="O207" s="97"/>
      <c r="P207" s="97"/>
    </row>
    <row r="208" spans="1:16" ht="15.75" customHeight="1" x14ac:dyDescent="0.2">
      <c r="A208" s="105"/>
      <c r="B208" s="97"/>
      <c r="C208" s="97"/>
      <c r="D208" s="97"/>
      <c r="E208" s="97"/>
      <c r="F208" s="97"/>
      <c r="G208" s="97"/>
      <c r="H208" s="97"/>
      <c r="J208" s="97"/>
      <c r="K208" s="97"/>
      <c r="L208" s="97"/>
      <c r="M208" s="97"/>
      <c r="N208" s="97"/>
      <c r="O208" s="97"/>
      <c r="P208" s="97"/>
    </row>
    <row r="209" spans="1:16" ht="15.75" customHeight="1" x14ac:dyDescent="0.2">
      <c r="A209" s="105"/>
      <c r="B209" s="97"/>
      <c r="C209" s="97"/>
      <c r="D209" s="97"/>
      <c r="E209" s="97"/>
      <c r="F209" s="97"/>
      <c r="G209" s="97"/>
      <c r="H209" s="97"/>
      <c r="J209" s="97"/>
      <c r="K209" s="97"/>
      <c r="L209" s="97"/>
      <c r="M209" s="97"/>
      <c r="N209" s="97"/>
      <c r="O209" s="97"/>
      <c r="P209" s="97"/>
    </row>
    <row r="210" spans="1:16" ht="15.75" customHeight="1" x14ac:dyDescent="0.2">
      <c r="A210" s="105"/>
      <c r="B210" s="97"/>
      <c r="C210" s="97"/>
      <c r="D210" s="97"/>
      <c r="E210" s="97"/>
      <c r="F210" s="97"/>
      <c r="G210" s="97"/>
      <c r="H210" s="97"/>
      <c r="J210" s="97"/>
      <c r="K210" s="97"/>
      <c r="L210" s="97"/>
      <c r="M210" s="97"/>
      <c r="N210" s="97"/>
      <c r="O210" s="97"/>
      <c r="P210" s="97"/>
    </row>
    <row r="211" spans="1:16" ht="15.75" customHeight="1" x14ac:dyDescent="0.2">
      <c r="A211" s="105"/>
      <c r="B211" s="97"/>
      <c r="C211" s="97"/>
      <c r="D211" s="97"/>
      <c r="E211" s="97"/>
      <c r="F211" s="97"/>
      <c r="G211" s="97"/>
      <c r="H211" s="97"/>
      <c r="J211" s="97"/>
      <c r="K211" s="97"/>
      <c r="L211" s="97"/>
      <c r="M211" s="97"/>
      <c r="N211" s="97"/>
      <c r="O211" s="97"/>
      <c r="P211" s="97"/>
    </row>
    <row r="212" spans="1:16" ht="15.75" customHeight="1" x14ac:dyDescent="0.2">
      <c r="A212" s="105"/>
      <c r="B212" s="97"/>
      <c r="C212" s="97"/>
      <c r="D212" s="97"/>
      <c r="E212" s="97"/>
      <c r="F212" s="97"/>
      <c r="G212" s="97"/>
      <c r="H212" s="97"/>
      <c r="J212" s="97"/>
      <c r="K212" s="97"/>
      <c r="L212" s="97"/>
      <c r="M212" s="97"/>
      <c r="N212" s="97"/>
      <c r="O212" s="97"/>
      <c r="P212" s="97"/>
    </row>
    <row r="213" spans="1:16" ht="15.75" customHeight="1" x14ac:dyDescent="0.2">
      <c r="A213" s="105"/>
      <c r="B213" s="97"/>
      <c r="C213" s="97"/>
      <c r="D213" s="97"/>
      <c r="E213" s="97"/>
      <c r="F213" s="97"/>
      <c r="G213" s="97"/>
      <c r="H213" s="97"/>
      <c r="J213" s="97"/>
      <c r="K213" s="97"/>
      <c r="L213" s="97"/>
      <c r="M213" s="97"/>
      <c r="N213" s="97"/>
      <c r="O213" s="97"/>
      <c r="P213" s="97"/>
    </row>
    <row r="214" spans="1:16" ht="15.75" customHeight="1" x14ac:dyDescent="0.2">
      <c r="A214" s="105"/>
      <c r="B214" s="97"/>
      <c r="C214" s="97"/>
      <c r="D214" s="97"/>
      <c r="E214" s="97"/>
      <c r="F214" s="97"/>
      <c r="G214" s="97"/>
      <c r="H214" s="97"/>
      <c r="J214" s="97"/>
      <c r="K214" s="97"/>
      <c r="L214" s="97"/>
      <c r="M214" s="97"/>
      <c r="N214" s="97"/>
      <c r="O214" s="97"/>
      <c r="P214" s="97"/>
    </row>
    <row r="215" spans="1:16" ht="15.75" customHeight="1" x14ac:dyDescent="0.2">
      <c r="A215" s="105"/>
      <c r="B215" s="97"/>
      <c r="C215" s="97"/>
      <c r="D215" s="97"/>
      <c r="E215" s="97"/>
      <c r="F215" s="97"/>
      <c r="G215" s="97"/>
      <c r="H215" s="97"/>
      <c r="J215" s="97"/>
      <c r="K215" s="97"/>
      <c r="L215" s="97"/>
      <c r="M215" s="97"/>
      <c r="N215" s="97"/>
      <c r="O215" s="97"/>
      <c r="P215" s="97"/>
    </row>
    <row r="216" spans="1:16" ht="15.75" customHeight="1" x14ac:dyDescent="0.2">
      <c r="A216" s="105"/>
      <c r="B216" s="97"/>
      <c r="C216" s="97"/>
      <c r="D216" s="97"/>
      <c r="E216" s="97"/>
      <c r="F216" s="97"/>
      <c r="G216" s="97"/>
      <c r="H216" s="97"/>
      <c r="J216" s="97"/>
      <c r="K216" s="97"/>
      <c r="L216" s="97"/>
      <c r="M216" s="97"/>
      <c r="N216" s="97"/>
      <c r="O216" s="97"/>
      <c r="P216" s="97"/>
    </row>
    <row r="217" spans="1:16" ht="15.75" customHeight="1" x14ac:dyDescent="0.2">
      <c r="A217" s="105"/>
      <c r="B217" s="97"/>
      <c r="C217" s="97"/>
      <c r="D217" s="97"/>
      <c r="E217" s="97"/>
      <c r="F217" s="97"/>
      <c r="G217" s="97"/>
      <c r="H217" s="97"/>
      <c r="J217" s="97"/>
      <c r="K217" s="97"/>
      <c r="L217" s="97"/>
      <c r="M217" s="97"/>
      <c r="N217" s="97"/>
      <c r="O217" s="97"/>
      <c r="P217" s="97"/>
    </row>
    <row r="218" spans="1:16" ht="15.75" customHeight="1" x14ac:dyDescent="0.2">
      <c r="A218" s="105"/>
      <c r="B218" s="97"/>
      <c r="C218" s="97"/>
      <c r="D218" s="97"/>
      <c r="E218" s="97"/>
      <c r="F218" s="97"/>
      <c r="G218" s="97"/>
      <c r="H218" s="97"/>
      <c r="J218" s="97"/>
      <c r="K218" s="97"/>
      <c r="L218" s="97"/>
      <c r="M218" s="97"/>
      <c r="N218" s="97"/>
      <c r="O218" s="97"/>
      <c r="P218" s="97"/>
    </row>
    <row r="219" spans="1:16" ht="15.75" customHeight="1" x14ac:dyDescent="0.2">
      <c r="A219" s="105"/>
      <c r="B219" s="97"/>
      <c r="C219" s="97"/>
      <c r="D219" s="97"/>
      <c r="E219" s="97"/>
      <c r="F219" s="97"/>
      <c r="G219" s="97"/>
      <c r="H219" s="97"/>
      <c r="J219" s="97"/>
      <c r="K219" s="97"/>
      <c r="L219" s="97"/>
      <c r="M219" s="97"/>
      <c r="N219" s="97"/>
      <c r="O219" s="97"/>
      <c r="P219" s="97"/>
    </row>
    <row r="220" spans="1:16" ht="15.75" customHeight="1" x14ac:dyDescent="0.2">
      <c r="A220" s="105"/>
      <c r="B220" s="97"/>
      <c r="C220" s="97"/>
      <c r="D220" s="97"/>
      <c r="E220" s="97"/>
      <c r="F220" s="97"/>
      <c r="G220" s="97"/>
      <c r="H220" s="97"/>
      <c r="J220" s="97"/>
      <c r="K220" s="97"/>
      <c r="L220" s="97"/>
      <c r="M220" s="97"/>
      <c r="N220" s="97"/>
      <c r="O220" s="97"/>
      <c r="P220" s="97"/>
    </row>
    <row r="221" spans="1:16" ht="15.75" customHeight="1" x14ac:dyDescent="0.2">
      <c r="A221" s="105"/>
      <c r="B221" s="97"/>
      <c r="C221" s="97"/>
      <c r="D221" s="97"/>
      <c r="E221" s="97"/>
      <c r="F221" s="97"/>
      <c r="G221" s="97"/>
      <c r="H221" s="97"/>
      <c r="J221" s="97"/>
      <c r="K221" s="97"/>
      <c r="L221" s="97"/>
      <c r="M221" s="97"/>
      <c r="N221" s="97"/>
      <c r="O221" s="97"/>
      <c r="P221" s="97"/>
    </row>
    <row r="222" spans="1:16" ht="15.75" customHeight="1" x14ac:dyDescent="0.2">
      <c r="A222" s="105"/>
      <c r="B222" s="97"/>
      <c r="C222" s="97"/>
      <c r="D222" s="97"/>
      <c r="E222" s="97"/>
      <c r="F222" s="97"/>
      <c r="G222" s="97"/>
      <c r="H222" s="97"/>
      <c r="J222" s="97"/>
      <c r="K222" s="97"/>
      <c r="L222" s="97"/>
      <c r="M222" s="97"/>
      <c r="N222" s="97"/>
      <c r="O222" s="97"/>
      <c r="P222" s="97"/>
    </row>
    <row r="223" spans="1:16" ht="15.75" customHeight="1" x14ac:dyDescent="0.2">
      <c r="A223" s="105"/>
      <c r="B223" s="97"/>
      <c r="C223" s="97"/>
      <c r="D223" s="97"/>
      <c r="E223" s="97"/>
      <c r="F223" s="97"/>
      <c r="G223" s="97"/>
      <c r="H223" s="97"/>
      <c r="J223" s="97"/>
      <c r="K223" s="97"/>
      <c r="L223" s="97"/>
      <c r="M223" s="97"/>
      <c r="N223" s="97"/>
      <c r="O223" s="97"/>
      <c r="P223" s="97"/>
    </row>
    <row r="224" spans="1:16" ht="15.75" customHeight="1" x14ac:dyDescent="0.2">
      <c r="A224" s="105"/>
      <c r="B224" s="97"/>
      <c r="C224" s="97"/>
      <c r="D224" s="97"/>
      <c r="E224" s="97"/>
      <c r="F224" s="97"/>
      <c r="G224" s="97"/>
      <c r="H224" s="97"/>
      <c r="J224" s="97"/>
      <c r="K224" s="97"/>
      <c r="L224" s="97"/>
      <c r="M224" s="97"/>
      <c r="N224" s="97"/>
      <c r="O224" s="97"/>
      <c r="P224" s="97"/>
    </row>
    <row r="225" spans="1:16" ht="15.75" customHeight="1" x14ac:dyDescent="0.2">
      <c r="A225" s="105"/>
      <c r="B225" s="97"/>
      <c r="C225" s="97"/>
      <c r="D225" s="97"/>
      <c r="E225" s="97"/>
      <c r="F225" s="97"/>
      <c r="G225" s="97"/>
      <c r="H225" s="97"/>
      <c r="J225" s="97"/>
      <c r="K225" s="97"/>
      <c r="L225" s="97"/>
      <c r="M225" s="97"/>
      <c r="N225" s="97"/>
      <c r="O225" s="97"/>
      <c r="P225" s="97"/>
    </row>
    <row r="226" spans="1:16" ht="15.75" customHeight="1" x14ac:dyDescent="0.2">
      <c r="A226" s="105"/>
      <c r="B226" s="97"/>
      <c r="C226" s="97"/>
      <c r="D226" s="97"/>
      <c r="E226" s="97"/>
      <c r="F226" s="97"/>
      <c r="G226" s="97"/>
      <c r="H226" s="97"/>
      <c r="J226" s="97"/>
      <c r="K226" s="97"/>
      <c r="L226" s="97"/>
      <c r="M226" s="97"/>
      <c r="N226" s="97"/>
      <c r="O226" s="97"/>
      <c r="P226" s="97"/>
    </row>
    <row r="227" spans="1:16" ht="15.75" customHeight="1" x14ac:dyDescent="0.2">
      <c r="A227" s="105"/>
      <c r="B227" s="97"/>
      <c r="C227" s="97"/>
      <c r="D227" s="97"/>
      <c r="E227" s="97"/>
      <c r="F227" s="97"/>
      <c r="G227" s="97"/>
      <c r="H227" s="97"/>
      <c r="J227" s="97"/>
      <c r="K227" s="97"/>
      <c r="L227" s="97"/>
      <c r="M227" s="97"/>
      <c r="N227" s="97"/>
      <c r="O227" s="97"/>
      <c r="P227" s="97"/>
    </row>
    <row r="228" spans="1:16" ht="15.75" customHeight="1" x14ac:dyDescent="0.2">
      <c r="A228" s="105"/>
      <c r="B228" s="97"/>
      <c r="C228" s="97"/>
      <c r="D228" s="97"/>
      <c r="E228" s="97"/>
      <c r="F228" s="97"/>
      <c r="G228" s="97"/>
      <c r="H228" s="97"/>
      <c r="J228" s="97"/>
      <c r="K228" s="97"/>
      <c r="L228" s="97"/>
      <c r="M228" s="97"/>
      <c r="N228" s="97"/>
      <c r="O228" s="97"/>
      <c r="P228" s="97"/>
    </row>
    <row r="229" spans="1:16" ht="15.75" customHeight="1" x14ac:dyDescent="0.2">
      <c r="A229" s="105"/>
      <c r="B229" s="97"/>
      <c r="C229" s="97"/>
      <c r="D229" s="97"/>
      <c r="E229" s="97"/>
      <c r="F229" s="97"/>
      <c r="G229" s="97"/>
      <c r="H229" s="97"/>
      <c r="J229" s="97"/>
      <c r="K229" s="97"/>
      <c r="L229" s="97"/>
      <c r="M229" s="97"/>
      <c r="N229" s="97"/>
      <c r="O229" s="97"/>
      <c r="P229" s="97"/>
    </row>
    <row r="230" spans="1:16" ht="15.75" customHeight="1" x14ac:dyDescent="0.2">
      <c r="A230" s="105"/>
      <c r="B230" s="97"/>
      <c r="C230" s="97"/>
      <c r="D230" s="97"/>
      <c r="E230" s="97"/>
      <c r="F230" s="97"/>
      <c r="G230" s="97"/>
      <c r="H230" s="97"/>
      <c r="J230" s="97"/>
      <c r="K230" s="97"/>
      <c r="L230" s="97"/>
      <c r="M230" s="97"/>
      <c r="N230" s="97"/>
      <c r="O230" s="97"/>
      <c r="P230" s="97"/>
    </row>
    <row r="231" spans="1:16" ht="15.75" customHeight="1" x14ac:dyDescent="0.2">
      <c r="A231" s="105"/>
      <c r="B231" s="97"/>
      <c r="C231" s="97"/>
      <c r="D231" s="97"/>
      <c r="E231" s="97"/>
      <c r="F231" s="97"/>
      <c r="G231" s="97"/>
      <c r="H231" s="97"/>
      <c r="J231" s="97"/>
      <c r="K231" s="97"/>
      <c r="L231" s="97"/>
      <c r="M231" s="97"/>
      <c r="N231" s="97"/>
      <c r="O231" s="97"/>
      <c r="P231" s="97"/>
    </row>
    <row r="232" spans="1:16" ht="15.75" customHeight="1" x14ac:dyDescent="0.2">
      <c r="A232" s="105"/>
      <c r="B232" s="97"/>
      <c r="C232" s="97"/>
      <c r="D232" s="97"/>
      <c r="E232" s="97"/>
      <c r="F232" s="97"/>
      <c r="G232" s="97"/>
      <c r="H232" s="97"/>
      <c r="J232" s="97"/>
      <c r="K232" s="97"/>
      <c r="L232" s="97"/>
      <c r="M232" s="97"/>
      <c r="N232" s="97"/>
      <c r="O232" s="97"/>
      <c r="P232" s="97"/>
    </row>
    <row r="233" spans="1:16" ht="15.75" customHeight="1" x14ac:dyDescent="0.2">
      <c r="A233" s="105"/>
      <c r="B233" s="97"/>
      <c r="C233" s="97"/>
      <c r="D233" s="97"/>
      <c r="E233" s="97"/>
      <c r="F233" s="97"/>
      <c r="G233" s="97"/>
      <c r="H233" s="97"/>
      <c r="J233" s="97"/>
      <c r="K233" s="97"/>
      <c r="L233" s="97"/>
      <c r="M233" s="97"/>
      <c r="N233" s="97"/>
      <c r="O233" s="97"/>
      <c r="P233" s="97"/>
    </row>
    <row r="234" spans="1:16" ht="15.75" customHeight="1" x14ac:dyDescent="0.2">
      <c r="A234" s="105"/>
      <c r="B234" s="97"/>
      <c r="C234" s="97"/>
      <c r="D234" s="97"/>
      <c r="E234" s="97"/>
      <c r="F234" s="97"/>
      <c r="G234" s="97"/>
      <c r="H234" s="97"/>
      <c r="J234" s="97"/>
      <c r="K234" s="97"/>
      <c r="L234" s="97"/>
      <c r="M234" s="97"/>
      <c r="N234" s="97"/>
      <c r="O234" s="97"/>
      <c r="P234" s="97"/>
    </row>
    <row r="235" spans="1:16" ht="15.75" customHeight="1" x14ac:dyDescent="0.2">
      <c r="A235" s="105"/>
      <c r="B235" s="97"/>
      <c r="C235" s="97"/>
      <c r="D235" s="97"/>
      <c r="E235" s="97"/>
      <c r="F235" s="97"/>
      <c r="G235" s="97"/>
      <c r="H235" s="97"/>
      <c r="J235" s="97"/>
      <c r="K235" s="97"/>
      <c r="L235" s="97"/>
      <c r="M235" s="97"/>
      <c r="N235" s="97"/>
      <c r="O235" s="97"/>
      <c r="P235" s="97"/>
    </row>
    <row r="236" spans="1:16" ht="15.75" customHeight="1" x14ac:dyDescent="0.2">
      <c r="A236" s="105"/>
      <c r="B236" s="97"/>
      <c r="C236" s="97"/>
      <c r="D236" s="97"/>
      <c r="E236" s="97"/>
      <c r="F236" s="97"/>
      <c r="G236" s="97"/>
      <c r="H236" s="97"/>
      <c r="J236" s="97"/>
      <c r="K236" s="97"/>
      <c r="L236" s="97"/>
      <c r="M236" s="97"/>
      <c r="N236" s="97"/>
      <c r="O236" s="97"/>
      <c r="P236" s="97"/>
    </row>
    <row r="237" spans="1:16" ht="15.75" customHeight="1" x14ac:dyDescent="0.2">
      <c r="A237" s="105"/>
      <c r="B237" s="97"/>
      <c r="C237" s="97"/>
      <c r="D237" s="97"/>
      <c r="E237" s="97"/>
      <c r="F237" s="97"/>
      <c r="G237" s="97"/>
      <c r="H237" s="97"/>
      <c r="J237" s="97"/>
      <c r="K237" s="97"/>
      <c r="L237" s="97"/>
      <c r="M237" s="97"/>
      <c r="N237" s="97"/>
      <c r="O237" s="97"/>
      <c r="P237" s="97"/>
    </row>
    <row r="238" spans="1:16" ht="15.75" customHeight="1" x14ac:dyDescent="0.2">
      <c r="A238" s="105"/>
      <c r="B238" s="97"/>
      <c r="C238" s="97"/>
      <c r="D238" s="97"/>
      <c r="E238" s="97"/>
      <c r="F238" s="97"/>
      <c r="G238" s="97"/>
      <c r="H238" s="97"/>
      <c r="J238" s="97"/>
      <c r="K238" s="97"/>
      <c r="L238" s="97"/>
      <c r="M238" s="97"/>
      <c r="N238" s="97"/>
      <c r="O238" s="97"/>
      <c r="P238" s="97"/>
    </row>
    <row r="239" spans="1:16" ht="15.75" customHeight="1" x14ac:dyDescent="0.2">
      <c r="A239" s="105"/>
      <c r="B239" s="97"/>
      <c r="C239" s="97"/>
      <c r="D239" s="97"/>
      <c r="E239" s="97"/>
      <c r="F239" s="97"/>
      <c r="G239" s="97"/>
      <c r="H239" s="97"/>
      <c r="J239" s="97"/>
      <c r="K239" s="97"/>
      <c r="L239" s="97"/>
      <c r="M239" s="97"/>
      <c r="N239" s="97"/>
      <c r="O239" s="97"/>
      <c r="P239" s="97"/>
    </row>
    <row r="240" spans="1:16" ht="15.75" customHeight="1" x14ac:dyDescent="0.2">
      <c r="A240" s="105"/>
      <c r="B240" s="97"/>
      <c r="C240" s="97"/>
      <c r="D240" s="97"/>
      <c r="E240" s="97"/>
      <c r="F240" s="97"/>
      <c r="G240" s="97"/>
      <c r="H240" s="97"/>
      <c r="J240" s="97"/>
      <c r="K240" s="97"/>
      <c r="L240" s="97"/>
      <c r="M240" s="97"/>
      <c r="N240" s="97"/>
      <c r="O240" s="97"/>
      <c r="P240" s="97"/>
    </row>
    <row r="241" spans="1:16" ht="15.75" customHeight="1" x14ac:dyDescent="0.2">
      <c r="A241" s="105"/>
      <c r="B241" s="97"/>
      <c r="C241" s="97"/>
      <c r="D241" s="97"/>
      <c r="E241" s="97"/>
      <c r="F241" s="97"/>
      <c r="G241" s="97"/>
      <c r="H241" s="97"/>
      <c r="J241" s="97"/>
      <c r="K241" s="97"/>
      <c r="L241" s="97"/>
      <c r="M241" s="97"/>
      <c r="N241" s="97"/>
      <c r="O241" s="97"/>
      <c r="P241" s="97"/>
    </row>
    <row r="242" spans="1:16" ht="15.75" customHeight="1" x14ac:dyDescent="0.2">
      <c r="A242" s="105"/>
      <c r="B242" s="97"/>
      <c r="C242" s="97"/>
      <c r="D242" s="97"/>
      <c r="E242" s="97"/>
      <c r="F242" s="97"/>
      <c r="G242" s="97"/>
      <c r="H242" s="97"/>
      <c r="J242" s="97"/>
      <c r="K242" s="97"/>
      <c r="L242" s="97"/>
      <c r="M242" s="97"/>
      <c r="N242" s="97"/>
      <c r="O242" s="97"/>
      <c r="P242" s="97"/>
    </row>
    <row r="243" spans="1:16" ht="15.75" customHeight="1" x14ac:dyDescent="0.2">
      <c r="A243" s="105"/>
      <c r="B243" s="97"/>
      <c r="C243" s="97"/>
      <c r="D243" s="97"/>
      <c r="E243" s="97"/>
      <c r="F243" s="97"/>
      <c r="G243" s="97"/>
      <c r="H243" s="97"/>
      <c r="J243" s="97"/>
      <c r="K243" s="97"/>
      <c r="L243" s="97"/>
      <c r="M243" s="97"/>
      <c r="N243" s="97"/>
      <c r="O243" s="97"/>
      <c r="P243" s="97"/>
    </row>
    <row r="244" spans="1:16" ht="15.75" customHeight="1" x14ac:dyDescent="0.2">
      <c r="A244" s="105"/>
      <c r="B244" s="97"/>
      <c r="C244" s="97"/>
      <c r="D244" s="97"/>
      <c r="E244" s="97"/>
      <c r="F244" s="97"/>
      <c r="G244" s="97"/>
      <c r="H244" s="97"/>
      <c r="J244" s="97"/>
      <c r="K244" s="97"/>
      <c r="L244" s="97"/>
      <c r="M244" s="97"/>
      <c r="N244" s="97"/>
      <c r="O244" s="97"/>
      <c r="P244" s="97"/>
    </row>
    <row r="245" spans="1:16" ht="15.75" customHeight="1" x14ac:dyDescent="0.2">
      <c r="A245" s="105"/>
      <c r="B245" s="97"/>
      <c r="C245" s="97"/>
      <c r="D245" s="97"/>
      <c r="E245" s="97"/>
      <c r="F245" s="97"/>
      <c r="G245" s="97"/>
      <c r="H245" s="97"/>
      <c r="J245" s="97"/>
      <c r="K245" s="97"/>
      <c r="L245" s="97"/>
      <c r="M245" s="97"/>
      <c r="N245" s="97"/>
      <c r="O245" s="97"/>
      <c r="P245" s="97"/>
    </row>
    <row r="246" spans="1:16" ht="15.75" customHeight="1" x14ac:dyDescent="0.2">
      <c r="A246" s="105"/>
      <c r="B246" s="97"/>
      <c r="C246" s="97"/>
      <c r="D246" s="97"/>
      <c r="E246" s="97"/>
      <c r="F246" s="97"/>
      <c r="G246" s="97"/>
      <c r="H246" s="97"/>
      <c r="J246" s="97"/>
      <c r="K246" s="97"/>
      <c r="L246" s="97"/>
      <c r="M246" s="97"/>
      <c r="N246" s="97"/>
      <c r="O246" s="97"/>
      <c r="P246" s="97"/>
    </row>
    <row r="247" spans="1:16" ht="15.75" customHeight="1" x14ac:dyDescent="0.2">
      <c r="A247" s="105"/>
      <c r="B247" s="97"/>
      <c r="C247" s="97"/>
      <c r="D247" s="97"/>
      <c r="E247" s="97"/>
      <c r="F247" s="97"/>
      <c r="G247" s="97"/>
      <c r="H247" s="97"/>
      <c r="J247" s="97"/>
      <c r="K247" s="97"/>
      <c r="L247" s="97"/>
      <c r="M247" s="97"/>
      <c r="N247" s="97"/>
      <c r="O247" s="97"/>
      <c r="P247" s="97"/>
    </row>
    <row r="248" spans="1:16" ht="15.75" customHeight="1" x14ac:dyDescent="0.2">
      <c r="A248" s="105"/>
      <c r="B248" s="97"/>
      <c r="C248" s="97"/>
      <c r="D248" s="97"/>
      <c r="E248" s="97"/>
      <c r="F248" s="97"/>
      <c r="G248" s="97"/>
      <c r="H248" s="97"/>
      <c r="J248" s="97"/>
      <c r="K248" s="97"/>
      <c r="L248" s="97"/>
      <c r="M248" s="97"/>
      <c r="N248" s="97"/>
      <c r="O248" s="97"/>
      <c r="P248" s="97"/>
    </row>
    <row r="249" spans="1:16" ht="15.75" customHeight="1" x14ac:dyDescent="0.2">
      <c r="A249" s="105"/>
      <c r="B249" s="97"/>
      <c r="C249" s="97"/>
      <c r="D249" s="97"/>
      <c r="E249" s="97"/>
      <c r="F249" s="97"/>
      <c r="G249" s="97"/>
      <c r="H249" s="97"/>
      <c r="J249" s="97"/>
      <c r="K249" s="97"/>
      <c r="L249" s="97"/>
      <c r="M249" s="97"/>
      <c r="N249" s="97"/>
      <c r="O249" s="97"/>
      <c r="P249" s="97"/>
    </row>
    <row r="250" spans="1:16" ht="15.75" customHeight="1" x14ac:dyDescent="0.2">
      <c r="A250" s="105"/>
      <c r="B250" s="97"/>
      <c r="C250" s="97"/>
      <c r="D250" s="97"/>
      <c r="E250" s="97"/>
      <c r="F250" s="97"/>
      <c r="G250" s="97"/>
      <c r="H250" s="97"/>
      <c r="J250" s="97"/>
      <c r="K250" s="97"/>
      <c r="L250" s="97"/>
      <c r="M250" s="97"/>
      <c r="N250" s="97"/>
      <c r="O250" s="97"/>
      <c r="P250" s="97"/>
    </row>
    <row r="251" spans="1:16" ht="15.75" customHeight="1" x14ac:dyDescent="0.2">
      <c r="A251" s="105"/>
      <c r="B251" s="97"/>
      <c r="C251" s="97"/>
      <c r="D251" s="97"/>
      <c r="E251" s="97"/>
      <c r="F251" s="97"/>
      <c r="G251" s="97"/>
      <c r="H251" s="97"/>
      <c r="J251" s="97"/>
      <c r="K251" s="97"/>
      <c r="L251" s="97"/>
      <c r="M251" s="97"/>
      <c r="N251" s="97"/>
      <c r="O251" s="97"/>
      <c r="P251" s="97"/>
    </row>
    <row r="252" spans="1:16" ht="15.75" customHeight="1" x14ac:dyDescent="0.2">
      <c r="A252" s="105"/>
      <c r="B252" s="97"/>
      <c r="C252" s="97"/>
      <c r="D252" s="97"/>
      <c r="E252" s="97"/>
      <c r="F252" s="97"/>
      <c r="G252" s="97"/>
      <c r="H252" s="97"/>
      <c r="J252" s="97"/>
      <c r="K252" s="97"/>
      <c r="L252" s="97"/>
      <c r="M252" s="97"/>
      <c r="N252" s="97"/>
      <c r="O252" s="97"/>
      <c r="P252" s="97"/>
    </row>
    <row r="253" spans="1:16" ht="15.75" customHeight="1" x14ac:dyDescent="0.2">
      <c r="A253" s="105"/>
      <c r="B253" s="97"/>
      <c r="C253" s="97"/>
      <c r="D253" s="97"/>
      <c r="E253" s="97"/>
      <c r="F253" s="97"/>
      <c r="G253" s="97"/>
      <c r="H253" s="97"/>
      <c r="J253" s="97"/>
      <c r="K253" s="97"/>
      <c r="L253" s="97"/>
      <c r="M253" s="97"/>
      <c r="N253" s="97"/>
      <c r="O253" s="97"/>
      <c r="P253" s="97"/>
    </row>
    <row r="254" spans="1:16" ht="15.75" customHeight="1" x14ac:dyDescent="0.2">
      <c r="A254" s="105"/>
      <c r="B254" s="97"/>
      <c r="C254" s="97"/>
      <c r="D254" s="97"/>
      <c r="E254" s="97"/>
      <c r="F254" s="97"/>
      <c r="G254" s="97"/>
      <c r="H254" s="97"/>
      <c r="J254" s="97"/>
      <c r="K254" s="97"/>
      <c r="L254" s="97"/>
      <c r="M254" s="97"/>
      <c r="N254" s="97"/>
      <c r="O254" s="97"/>
      <c r="P254" s="97"/>
    </row>
    <row r="255" spans="1:16" ht="15.75" customHeight="1" x14ac:dyDescent="0.2">
      <c r="A255" s="105"/>
      <c r="B255" s="97"/>
      <c r="C255" s="97"/>
      <c r="D255" s="97"/>
      <c r="E255" s="97"/>
      <c r="F255" s="97"/>
      <c r="G255" s="97"/>
      <c r="H255" s="97"/>
      <c r="J255" s="97"/>
      <c r="K255" s="97"/>
      <c r="L255" s="97"/>
      <c r="M255" s="97"/>
      <c r="N255" s="97"/>
      <c r="O255" s="97"/>
      <c r="P255" s="97"/>
    </row>
    <row r="256" spans="1:16" ht="15.75" customHeight="1" x14ac:dyDescent="0.2">
      <c r="A256" s="105"/>
      <c r="B256" s="97"/>
      <c r="C256" s="97"/>
      <c r="D256" s="97"/>
      <c r="E256" s="97"/>
      <c r="F256" s="97"/>
      <c r="G256" s="97"/>
      <c r="H256" s="97"/>
      <c r="J256" s="97"/>
      <c r="K256" s="97"/>
      <c r="L256" s="97"/>
      <c r="M256" s="97"/>
      <c r="N256" s="97"/>
      <c r="O256" s="97"/>
      <c r="P256" s="97"/>
    </row>
    <row r="257" spans="1:16" ht="15.75" customHeight="1" x14ac:dyDescent="0.2">
      <c r="A257" s="105"/>
      <c r="B257" s="97"/>
      <c r="C257" s="97"/>
      <c r="D257" s="97"/>
      <c r="E257" s="97"/>
      <c r="F257" s="97"/>
      <c r="G257" s="97"/>
      <c r="H257" s="97"/>
      <c r="J257" s="97"/>
      <c r="K257" s="97"/>
      <c r="L257" s="97"/>
      <c r="M257" s="97"/>
      <c r="N257" s="97"/>
      <c r="O257" s="97"/>
      <c r="P257" s="97"/>
    </row>
    <row r="258" spans="1:16" ht="15.75" customHeight="1" x14ac:dyDescent="0.2">
      <c r="A258" s="105"/>
      <c r="B258" s="97"/>
      <c r="C258" s="97"/>
      <c r="D258" s="97"/>
      <c r="E258" s="97"/>
      <c r="F258" s="97"/>
      <c r="G258" s="97"/>
      <c r="H258" s="97"/>
      <c r="J258" s="97"/>
      <c r="K258" s="97"/>
      <c r="L258" s="97"/>
      <c r="M258" s="97"/>
      <c r="N258" s="97"/>
      <c r="O258" s="97"/>
      <c r="P258" s="97"/>
    </row>
    <row r="259" spans="1:16" ht="15.75" customHeight="1" x14ac:dyDescent="0.2">
      <c r="A259" s="105"/>
      <c r="B259" s="97"/>
      <c r="C259" s="97"/>
      <c r="D259" s="97"/>
      <c r="E259" s="97"/>
      <c r="F259" s="97"/>
      <c r="G259" s="97"/>
      <c r="H259" s="97"/>
      <c r="J259" s="97"/>
      <c r="K259" s="97"/>
      <c r="L259" s="97"/>
      <c r="M259" s="97"/>
      <c r="N259" s="97"/>
      <c r="O259" s="97"/>
      <c r="P259" s="97"/>
    </row>
    <row r="260" spans="1:16" ht="15.75" customHeight="1" x14ac:dyDescent="0.2">
      <c r="A260" s="105"/>
      <c r="B260" s="97"/>
      <c r="C260" s="97"/>
      <c r="D260" s="97"/>
      <c r="E260" s="97"/>
      <c r="F260" s="97"/>
      <c r="G260" s="97"/>
      <c r="H260" s="97"/>
      <c r="J260" s="97"/>
      <c r="K260" s="97"/>
      <c r="L260" s="97"/>
      <c r="M260" s="97"/>
      <c r="N260" s="97"/>
      <c r="O260" s="97"/>
      <c r="P260" s="97"/>
    </row>
    <row r="261" spans="1:16" ht="15.75" customHeight="1" x14ac:dyDescent="0.2">
      <c r="A261" s="105"/>
      <c r="B261" s="97"/>
      <c r="C261" s="97"/>
      <c r="D261" s="97"/>
      <c r="E261" s="97"/>
      <c r="F261" s="97"/>
      <c r="G261" s="97"/>
      <c r="H261" s="97"/>
      <c r="J261" s="97"/>
      <c r="K261" s="97"/>
      <c r="L261" s="97"/>
      <c r="M261" s="97"/>
      <c r="N261" s="97"/>
      <c r="O261" s="97"/>
      <c r="P261" s="97"/>
    </row>
    <row r="262" spans="1:16" ht="15.75" customHeight="1" x14ac:dyDescent="0.2">
      <c r="A262" s="105"/>
      <c r="B262" s="97"/>
      <c r="C262" s="97"/>
      <c r="D262" s="97"/>
      <c r="E262" s="97"/>
      <c r="F262" s="97"/>
      <c r="G262" s="97"/>
      <c r="H262" s="97"/>
      <c r="J262" s="97"/>
      <c r="K262" s="97"/>
      <c r="L262" s="97"/>
      <c r="M262" s="97"/>
      <c r="N262" s="97"/>
      <c r="O262" s="97"/>
      <c r="P262" s="97"/>
    </row>
    <row r="263" spans="1:16" ht="15.75" customHeight="1" x14ac:dyDescent="0.2">
      <c r="A263" s="105"/>
      <c r="B263" s="97"/>
      <c r="C263" s="97"/>
      <c r="D263" s="97"/>
      <c r="E263" s="97"/>
      <c r="F263" s="97"/>
      <c r="G263" s="97"/>
      <c r="H263" s="97"/>
      <c r="J263" s="97"/>
      <c r="K263" s="97"/>
      <c r="L263" s="97"/>
      <c r="M263" s="97"/>
      <c r="N263" s="97"/>
      <c r="O263" s="97"/>
      <c r="P263" s="97"/>
    </row>
    <row r="264" spans="1:16" ht="15.75" customHeight="1" x14ac:dyDescent="0.2">
      <c r="A264" s="105"/>
      <c r="B264" s="97"/>
      <c r="C264" s="97"/>
      <c r="D264" s="97"/>
      <c r="E264" s="97"/>
      <c r="F264" s="97"/>
      <c r="G264" s="97"/>
      <c r="H264" s="97"/>
      <c r="J264" s="97"/>
      <c r="K264" s="97"/>
      <c r="L264" s="97"/>
      <c r="M264" s="97"/>
      <c r="N264" s="97"/>
      <c r="O264" s="97"/>
      <c r="P264" s="97"/>
    </row>
    <row r="265" spans="1:16" ht="15.75" customHeight="1" x14ac:dyDescent="0.2">
      <c r="A265" s="105"/>
      <c r="B265" s="97"/>
      <c r="C265" s="97"/>
      <c r="D265" s="97"/>
      <c r="E265" s="97"/>
      <c r="F265" s="97"/>
      <c r="G265" s="97"/>
      <c r="H265" s="97"/>
      <c r="J265" s="97"/>
      <c r="K265" s="97"/>
      <c r="L265" s="97"/>
      <c r="M265" s="97"/>
      <c r="N265" s="97"/>
      <c r="O265" s="97"/>
      <c r="P265" s="97"/>
    </row>
    <row r="266" spans="1:16" ht="15.75" customHeight="1" x14ac:dyDescent="0.2">
      <c r="A266" s="105"/>
      <c r="B266" s="97"/>
      <c r="C266" s="97"/>
      <c r="D266" s="97"/>
      <c r="E266" s="97"/>
      <c r="F266" s="97"/>
      <c r="G266" s="97"/>
      <c r="H266" s="97"/>
      <c r="J266" s="97"/>
      <c r="K266" s="97"/>
      <c r="L266" s="97"/>
      <c r="M266" s="97"/>
      <c r="N266" s="97"/>
      <c r="O266" s="97"/>
      <c r="P266" s="97"/>
    </row>
    <row r="267" spans="1:16" ht="15.75" customHeight="1" x14ac:dyDescent="0.2">
      <c r="A267" s="105"/>
      <c r="B267" s="97"/>
      <c r="C267" s="97"/>
      <c r="D267" s="97"/>
      <c r="E267" s="97"/>
      <c r="F267" s="97"/>
      <c r="G267" s="97"/>
      <c r="H267" s="97"/>
      <c r="J267" s="97"/>
      <c r="K267" s="97"/>
      <c r="L267" s="97"/>
      <c r="M267" s="97"/>
      <c r="N267" s="97"/>
      <c r="O267" s="97"/>
      <c r="P267" s="97"/>
    </row>
    <row r="268" spans="1:16" ht="15.75" customHeight="1" x14ac:dyDescent="0.2">
      <c r="A268" s="105"/>
      <c r="B268" s="97"/>
      <c r="C268" s="97"/>
      <c r="D268" s="97"/>
      <c r="E268" s="97"/>
      <c r="F268" s="97"/>
      <c r="G268" s="97"/>
      <c r="H268" s="97"/>
      <c r="J268" s="97"/>
      <c r="K268" s="97"/>
      <c r="L268" s="97"/>
      <c r="M268" s="97"/>
      <c r="N268" s="97"/>
      <c r="O268" s="97"/>
      <c r="P268" s="97"/>
    </row>
    <row r="269" spans="1:16" ht="15.75" customHeight="1" x14ac:dyDescent="0.2">
      <c r="A269" s="105"/>
      <c r="B269" s="97"/>
      <c r="C269" s="97"/>
      <c r="D269" s="97"/>
      <c r="E269" s="97"/>
      <c r="F269" s="97"/>
      <c r="G269" s="97"/>
      <c r="H269" s="97"/>
      <c r="J269" s="97"/>
      <c r="K269" s="97"/>
      <c r="L269" s="97"/>
      <c r="M269" s="97"/>
      <c r="N269" s="97"/>
      <c r="O269" s="97"/>
      <c r="P269" s="97"/>
    </row>
    <row r="270" spans="1:16" ht="15.75" customHeight="1" x14ac:dyDescent="0.2">
      <c r="A270" s="105"/>
      <c r="B270" s="97"/>
      <c r="C270" s="97"/>
      <c r="D270" s="97"/>
      <c r="E270" s="97"/>
      <c r="F270" s="97"/>
      <c r="G270" s="97"/>
      <c r="H270" s="97"/>
      <c r="J270" s="97"/>
      <c r="K270" s="97"/>
      <c r="L270" s="97"/>
      <c r="M270" s="97"/>
      <c r="N270" s="97"/>
      <c r="O270" s="97"/>
      <c r="P270" s="97"/>
    </row>
    <row r="271" spans="1:16" ht="15.75" customHeight="1" x14ac:dyDescent="0.2">
      <c r="A271" s="105"/>
      <c r="B271" s="97"/>
      <c r="C271" s="97"/>
      <c r="D271" s="97"/>
      <c r="E271" s="97"/>
      <c r="F271" s="97"/>
      <c r="G271" s="97"/>
      <c r="H271" s="97"/>
      <c r="J271" s="97"/>
      <c r="K271" s="97"/>
      <c r="L271" s="97"/>
      <c r="M271" s="97"/>
      <c r="N271" s="97"/>
      <c r="O271" s="97"/>
      <c r="P271" s="97"/>
    </row>
    <row r="272" spans="1:16" ht="15.75" customHeight="1" x14ac:dyDescent="0.2">
      <c r="A272" s="105"/>
      <c r="B272" s="97"/>
      <c r="C272" s="97"/>
      <c r="D272" s="97"/>
      <c r="E272" s="97"/>
      <c r="F272" s="97"/>
      <c r="G272" s="97"/>
      <c r="H272" s="97"/>
      <c r="J272" s="97"/>
      <c r="K272" s="97"/>
      <c r="L272" s="97"/>
      <c r="M272" s="97"/>
      <c r="N272" s="97"/>
      <c r="O272" s="97"/>
      <c r="P272" s="97"/>
    </row>
    <row r="273" spans="1:16" ht="15.75" customHeight="1" x14ac:dyDescent="0.2">
      <c r="A273" s="105"/>
      <c r="B273" s="97"/>
      <c r="C273" s="97"/>
      <c r="D273" s="97"/>
      <c r="E273" s="97"/>
      <c r="F273" s="97"/>
      <c r="G273" s="97"/>
      <c r="H273" s="97"/>
      <c r="J273" s="97"/>
      <c r="K273" s="97"/>
      <c r="L273" s="97"/>
      <c r="M273" s="97"/>
      <c r="N273" s="97"/>
      <c r="O273" s="97"/>
      <c r="P273" s="97"/>
    </row>
    <row r="274" spans="1:16" ht="15.75" customHeight="1" x14ac:dyDescent="0.2">
      <c r="A274" s="105"/>
      <c r="B274" s="97"/>
      <c r="C274" s="97"/>
      <c r="D274" s="97"/>
      <c r="E274" s="97"/>
      <c r="F274" s="97"/>
      <c r="G274" s="97"/>
      <c r="H274" s="97"/>
      <c r="J274" s="97"/>
      <c r="K274" s="97"/>
      <c r="L274" s="97"/>
      <c r="M274" s="97"/>
      <c r="N274" s="97"/>
      <c r="O274" s="97"/>
      <c r="P274" s="97"/>
    </row>
    <row r="275" spans="1:16" ht="15.75" customHeight="1" x14ac:dyDescent="0.2">
      <c r="A275" s="105"/>
      <c r="B275" s="97"/>
      <c r="C275" s="97"/>
      <c r="D275" s="97"/>
      <c r="E275" s="97"/>
      <c r="F275" s="97"/>
      <c r="G275" s="97"/>
      <c r="H275" s="97"/>
      <c r="J275" s="97"/>
      <c r="K275" s="97"/>
      <c r="L275" s="97"/>
      <c r="M275" s="97"/>
      <c r="N275" s="97"/>
      <c r="O275" s="97"/>
      <c r="P275" s="97"/>
    </row>
    <row r="276" spans="1:16" ht="15.75" customHeight="1" x14ac:dyDescent="0.2">
      <c r="A276" s="105"/>
      <c r="B276" s="97"/>
      <c r="C276" s="97"/>
      <c r="D276" s="97"/>
      <c r="E276" s="97"/>
      <c r="F276" s="97"/>
      <c r="G276" s="97"/>
      <c r="H276" s="97"/>
      <c r="J276" s="97"/>
      <c r="K276" s="97"/>
      <c r="L276" s="97"/>
      <c r="M276" s="97"/>
      <c r="N276" s="97"/>
      <c r="O276" s="97"/>
      <c r="P276" s="97"/>
    </row>
    <row r="277" spans="1:16" ht="15.75" customHeight="1" x14ac:dyDescent="0.2"/>
    <row r="278" spans="1:16" ht="15.75" customHeight="1" x14ac:dyDescent="0.2"/>
    <row r="279" spans="1:16" ht="15.75" customHeight="1" x14ac:dyDescent="0.2"/>
    <row r="280" spans="1:16" ht="15.75" customHeight="1" x14ac:dyDescent="0.2"/>
    <row r="281" spans="1:16" ht="15.75" customHeight="1" x14ac:dyDescent="0.2"/>
    <row r="282" spans="1:16" ht="15.75" customHeight="1" x14ac:dyDescent="0.2"/>
    <row r="283" spans="1:16" ht="15.75" customHeight="1" x14ac:dyDescent="0.2"/>
    <row r="284" spans="1:16" ht="15.75" customHeight="1" x14ac:dyDescent="0.2"/>
    <row r="285" spans="1:16" ht="15.75" customHeight="1" x14ac:dyDescent="0.2"/>
    <row r="286" spans="1:16" ht="15.75" customHeight="1" x14ac:dyDescent="0.2"/>
    <row r="287" spans="1:16" ht="15.75" customHeight="1" x14ac:dyDescent="0.2"/>
    <row r="288" spans="1:1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1">
    <mergeCell ref="P7:P10"/>
    <mergeCell ref="B14:C25"/>
    <mergeCell ref="B26:C33"/>
    <mergeCell ref="D39:G39"/>
    <mergeCell ref="D52:G52"/>
    <mergeCell ref="D71:E71"/>
    <mergeCell ref="B2:G2"/>
    <mergeCell ref="I3:J3"/>
    <mergeCell ref="B4:C4"/>
    <mergeCell ref="B5:C13"/>
    <mergeCell ref="B34:C34"/>
  </mergeCells>
  <hyperlinks>
    <hyperlink ref="I33" r:id="rId1" xr:uid="{00000000-0004-0000-0300-00000D000000}"/>
    <hyperlink ref="I30" r:id="rId2" xr:uid="{00000000-0004-0000-0300-00000C000000}"/>
    <hyperlink ref="I29" r:id="rId3" xr:uid="{00000000-0004-0000-0300-00000B000000}"/>
    <hyperlink ref="I28" r:id="rId4" xr:uid="{00000000-0004-0000-0300-00000A000000}"/>
    <hyperlink ref="I25" r:id="rId5" xr:uid="{00000000-0004-0000-0300-000009000000}"/>
    <hyperlink ref="I22" r:id="rId6" xr:uid="{00000000-0004-0000-0300-000008000000}"/>
    <hyperlink ref="I21" r:id="rId7" xr:uid="{00000000-0004-0000-0300-000007000000}"/>
    <hyperlink ref="I20" r:id="rId8" xr:uid="{00000000-0004-0000-0300-000006000000}"/>
    <hyperlink ref="I19" r:id="rId9" xr:uid="{00000000-0004-0000-0300-000005000000}"/>
    <hyperlink ref="I18" r:id="rId10" xr:uid="{00000000-0004-0000-0300-000004000000}"/>
    <hyperlink ref="I17" r:id="rId11" xr:uid="{00000000-0004-0000-0300-000003000000}"/>
    <hyperlink ref="I16" r:id="rId12" xr:uid="{00000000-0004-0000-0300-000002000000}"/>
    <hyperlink ref="I15" r:id="rId13" xr:uid="{00000000-0004-0000-0300-000001000000}"/>
    <hyperlink ref="I14" r:id="rId14" xr:uid="{00000000-0004-0000-0300-000000000000}"/>
    <hyperlink ref="I34" r:id="rId15" xr:uid="{81D460BE-1760-43E2-B241-075E461AB1A8}"/>
  </hyperlinks>
  <printOptions horizontalCentered="1"/>
  <pageMargins left="0.7" right="0.7" top="0.75" bottom="0.75" header="0" footer="0"/>
  <pageSetup fitToHeight="0" pageOrder="overThenDown" orientation="landscape" cellComments="atEnd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HL1095"/>
  <sheetViews>
    <sheetView workbookViewId="0">
      <selection activeCell="A12" sqref="A12:D26"/>
    </sheetView>
  </sheetViews>
  <sheetFormatPr defaultColWidth="14.42578125" defaultRowHeight="15" customHeight="1" x14ac:dyDescent="0.2"/>
  <cols>
    <col min="1" max="1" width="41.42578125" style="21" customWidth="1"/>
    <col min="2" max="2" width="24.28515625" style="21" bestFit="1" customWidth="1"/>
    <col min="3" max="3" width="11.7109375" style="21" customWidth="1"/>
    <col min="4" max="4" width="71.7109375" style="21" bestFit="1" customWidth="1"/>
    <col min="5" max="5" width="11" style="21" customWidth="1"/>
    <col min="6" max="6" width="12.28515625" style="21" bestFit="1" customWidth="1"/>
    <col min="7" max="8" width="9.28515625" style="93" bestFit="1" customWidth="1"/>
    <col min="9" max="32" width="9.28515625" style="21" bestFit="1" customWidth="1"/>
    <col min="33" max="33" width="9" style="21" bestFit="1" customWidth="1"/>
    <col min="34" max="41" width="8.28515625" style="21" bestFit="1" customWidth="1"/>
    <col min="42" max="63" width="9" style="21" bestFit="1" customWidth="1"/>
    <col min="64" max="72" width="8" style="21" bestFit="1" customWidth="1"/>
    <col min="73" max="94" width="9.42578125" style="21" bestFit="1" customWidth="1"/>
    <col min="95" max="103" width="8.42578125" style="21" bestFit="1" customWidth="1"/>
    <col min="104" max="124" width="9.140625" style="21" bestFit="1" customWidth="1"/>
    <col min="125" max="133" width="8.140625" style="21" bestFit="1" customWidth="1"/>
    <col min="134" max="155" width="9.140625" style="21" bestFit="1" customWidth="1"/>
    <col min="156" max="164" width="8.140625" style="21" bestFit="1" customWidth="1"/>
    <col min="165" max="177" width="9.42578125" style="21" bestFit="1" customWidth="1"/>
    <col min="178" max="180" width="9.42578125" style="78" bestFit="1" customWidth="1"/>
    <col min="181" max="185" width="9.42578125" style="21" bestFit="1" customWidth="1"/>
    <col min="186" max="186" width="9" style="21" bestFit="1" customWidth="1"/>
    <col min="187" max="187" width="8.42578125" style="21" bestFit="1" customWidth="1"/>
    <col min="188" max="190" width="9" style="21" bestFit="1" customWidth="1"/>
    <col min="191" max="191" width="8.42578125" style="21" bestFit="1" customWidth="1"/>
    <col min="192" max="192" width="9" style="21" bestFit="1" customWidth="1"/>
    <col min="193" max="194" width="8.42578125" style="21" bestFit="1" customWidth="1"/>
    <col min="195" max="216" width="9.42578125" style="21" bestFit="1" customWidth="1"/>
    <col min="217" max="217" width="8.42578125" style="21" bestFit="1" customWidth="1"/>
    <col min="218" max="219" width="9" style="21" bestFit="1" customWidth="1"/>
    <col min="220" max="220" width="9.85546875" style="21" customWidth="1"/>
    <col min="221" max="16384" width="14.42578125" style="21"/>
  </cols>
  <sheetData>
    <row r="1" spans="1:220" ht="12.75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7"/>
      <c r="FW1" s="27"/>
      <c r="FX1" s="28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</row>
    <row r="2" spans="1:220" ht="12.75" x14ac:dyDescent="0.2">
      <c r="A2" s="25"/>
      <c r="B2" s="25"/>
      <c r="C2" s="25"/>
      <c r="D2" s="29"/>
      <c r="E2" s="30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6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9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6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7"/>
      <c r="FW2" s="27"/>
      <c r="FX2" s="28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</row>
    <row r="3" spans="1:220" ht="12.75" x14ac:dyDescent="0.2">
      <c r="A3" s="25"/>
      <c r="B3" s="29" t="s">
        <v>8</v>
      </c>
      <c r="C3" s="31">
        <f>SUM(G11:HK11)</f>
        <v>139921.94430000006</v>
      </c>
      <c r="D3" s="29"/>
      <c r="E3" s="30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6"/>
      <c r="AZ3" s="25"/>
      <c r="BA3" s="25"/>
      <c r="BB3" s="29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7"/>
      <c r="FW3" s="27"/>
      <c r="FX3" s="28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</row>
    <row r="4" spans="1:220" ht="12.75" x14ac:dyDescent="0.2">
      <c r="A4" s="25"/>
      <c r="B4" s="29" t="s">
        <v>34</v>
      </c>
      <c r="C4" s="32">
        <f>SUM(E12:E44)</f>
        <v>3853.4799999999996</v>
      </c>
      <c r="D4" s="29"/>
      <c r="E4" s="30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26"/>
      <c r="AZ4" s="33"/>
      <c r="BA4" s="33"/>
      <c r="BB4" s="29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7"/>
      <c r="FW4" s="27"/>
      <c r="FX4" s="28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</row>
    <row r="5" spans="1:220" ht="12.75" x14ac:dyDescent="0.2">
      <c r="A5" s="25"/>
      <c r="B5" s="25"/>
      <c r="C5" s="34"/>
      <c r="D5" s="29"/>
      <c r="E5" s="30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9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36"/>
      <c r="FW5" s="36"/>
      <c r="FX5" s="36"/>
      <c r="FY5" s="29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</row>
    <row r="6" spans="1:220" ht="12.75" x14ac:dyDescent="0.2">
      <c r="A6" s="25"/>
      <c r="B6" s="92" t="s">
        <v>48</v>
      </c>
      <c r="C6" s="32">
        <f>SUM(AP11:BT11)</f>
        <v>7262.04</v>
      </c>
      <c r="D6" s="25"/>
      <c r="E6" s="26"/>
      <c r="F6" s="29" t="s">
        <v>50</v>
      </c>
      <c r="G6" s="33">
        <v>9116.82</v>
      </c>
      <c r="H6" s="92">
        <v>9071.15</v>
      </c>
      <c r="I6" s="95">
        <v>8763.43</v>
      </c>
      <c r="J6" s="26">
        <v>8759</v>
      </c>
      <c r="K6" s="26">
        <v>8919.65</v>
      </c>
      <c r="L6" s="26">
        <v>8530.64</v>
      </c>
      <c r="M6" s="26">
        <v>8531.4699999999993</v>
      </c>
      <c r="N6" s="26">
        <v>8707.85</v>
      </c>
      <c r="O6" s="26">
        <v>8812.39</v>
      </c>
      <c r="P6" s="26">
        <v>8785.2999999999993</v>
      </c>
      <c r="Q6" s="26">
        <v>9307.11</v>
      </c>
      <c r="R6" s="26">
        <v>9666.11</v>
      </c>
      <c r="S6" s="26">
        <v>9978.4500000000007</v>
      </c>
      <c r="T6" s="26">
        <v>9673.07</v>
      </c>
      <c r="U6" s="90">
        <v>9610.5</v>
      </c>
      <c r="V6" s="22">
        <v>9610.5</v>
      </c>
      <c r="W6" s="22">
        <v>9604.3799999999992</v>
      </c>
      <c r="X6" s="25">
        <v>10185.27</v>
      </c>
      <c r="Y6" s="25">
        <v>9704</v>
      </c>
      <c r="Z6" s="25">
        <v>9933.99</v>
      </c>
      <c r="AA6" s="25">
        <v>9909.16</v>
      </c>
      <c r="AB6" s="25">
        <v>10370.48</v>
      </c>
      <c r="AC6" s="25">
        <v>10241.94</v>
      </c>
      <c r="AD6" s="25">
        <v>10354.35</v>
      </c>
      <c r="AE6" s="25">
        <v>10271.129999999999</v>
      </c>
      <c r="AF6" s="25">
        <v>9852.9599999999991</v>
      </c>
      <c r="AG6" s="25">
        <v>10167.879999999999</v>
      </c>
      <c r="AH6" s="25">
        <v>9907.49</v>
      </c>
      <c r="AI6" s="25">
        <v>9810.73</v>
      </c>
      <c r="AJ6" s="25">
        <v>9757.52</v>
      </c>
      <c r="AK6" s="25">
        <v>9611.92</v>
      </c>
      <c r="AL6" s="25">
        <v>9165.5</v>
      </c>
      <c r="AM6" s="25">
        <v>9286.2900000000009</v>
      </c>
      <c r="AN6" s="25">
        <v>9325.99</v>
      </c>
      <c r="AO6" s="26">
        <v>9379.93</v>
      </c>
      <c r="AP6" s="26">
        <v>9333.5400000000009</v>
      </c>
      <c r="AQ6" s="26">
        <v>9503.2999999999993</v>
      </c>
      <c r="AR6" s="26">
        <v>9283.6200000000008</v>
      </c>
      <c r="AS6" s="26">
        <v>9389.2999999999993</v>
      </c>
      <c r="AT6" s="26">
        <v>8893.7800000000007</v>
      </c>
      <c r="AU6" s="26">
        <v>8954.5499999999993</v>
      </c>
      <c r="AV6" s="26">
        <v>8329.52</v>
      </c>
      <c r="AW6" s="26">
        <v>8426.6200000000008</v>
      </c>
      <c r="AX6" s="26">
        <v>8389.27</v>
      </c>
      <c r="AY6" s="26">
        <v>8660.9500000000007</v>
      </c>
      <c r="AZ6" s="26">
        <v>8723.7099999999991</v>
      </c>
      <c r="BA6" s="26">
        <v>8631.6299999999992</v>
      </c>
      <c r="BB6" s="26">
        <v>8702.65</v>
      </c>
      <c r="BC6" s="26">
        <v>8908.93</v>
      </c>
      <c r="BD6" s="26">
        <v>8898.19</v>
      </c>
      <c r="BE6" s="26">
        <v>8719.51</v>
      </c>
      <c r="BF6" s="26">
        <v>8815.06</v>
      </c>
      <c r="BG6" s="26">
        <v>8829.11</v>
      </c>
      <c r="BH6" s="26">
        <v>8107.89</v>
      </c>
      <c r="BI6" s="26">
        <v>8175.9</v>
      </c>
      <c r="BJ6" s="26">
        <v>8022.1</v>
      </c>
      <c r="BK6" s="26">
        <v>8192.25</v>
      </c>
      <c r="BL6" s="26">
        <v>7816.44</v>
      </c>
      <c r="BM6" s="26">
        <v>8045.25</v>
      </c>
      <c r="BN6" s="26">
        <v>8162.71</v>
      </c>
      <c r="BO6" s="26">
        <v>7763.22</v>
      </c>
      <c r="BP6" s="26">
        <v>7353.24</v>
      </c>
      <c r="BQ6" s="26">
        <v>7349.68</v>
      </c>
      <c r="BR6" s="26">
        <v>7330.79</v>
      </c>
      <c r="BS6" s="26">
        <v>6945.79</v>
      </c>
      <c r="BT6" s="26">
        <v>7176.37</v>
      </c>
      <c r="BU6" s="26">
        <v>7171.07</v>
      </c>
      <c r="BV6" s="26">
        <v>7218.72</v>
      </c>
      <c r="BW6" s="26">
        <v>7387.36</v>
      </c>
      <c r="BX6" s="26">
        <v>7302.03</v>
      </c>
      <c r="BY6" s="26">
        <v>7245.33</v>
      </c>
      <c r="BZ6" s="26">
        <v>7195.41</v>
      </c>
      <c r="CA6" s="26">
        <v>7191.94</v>
      </c>
      <c r="CB6" s="26">
        <v>7256.66</v>
      </c>
      <c r="CC6" s="26">
        <v>7318.71</v>
      </c>
      <c r="CD6" s="26">
        <v>7513.96</v>
      </c>
      <c r="CE6" s="26">
        <v>7144.47</v>
      </c>
      <c r="CF6" s="26">
        <v>7192.96</v>
      </c>
      <c r="CG6" s="26">
        <v>7150.63</v>
      </c>
      <c r="CH6" s="26">
        <v>7286.79</v>
      </c>
      <c r="CI6" s="26">
        <v>6613.91</v>
      </c>
      <c r="CJ6" s="26">
        <v>6879.44</v>
      </c>
      <c r="CK6" s="26">
        <v>7112.19</v>
      </c>
      <c r="CL6" s="26">
        <v>7065.92</v>
      </c>
      <c r="CM6" s="26">
        <v>7253.09</v>
      </c>
      <c r="CN6" s="26">
        <v>7189.39</v>
      </c>
      <c r="CO6" s="26">
        <v>7204.08</v>
      </c>
      <c r="CP6" s="26">
        <v>7222.02</v>
      </c>
      <c r="CQ6" s="26">
        <v>7338.88</v>
      </c>
      <c r="CR6" s="26">
        <v>7522.76</v>
      </c>
      <c r="CS6" s="26">
        <v>7503.3</v>
      </c>
      <c r="CT6" s="26">
        <v>7547.74</v>
      </c>
      <c r="CU6" s="26">
        <v>7394.53</v>
      </c>
      <c r="CV6" s="26">
        <v>7195.29</v>
      </c>
      <c r="CW6" s="26">
        <v>7300.18</v>
      </c>
      <c r="CX6" s="26">
        <v>7308.44</v>
      </c>
      <c r="CY6" s="26">
        <v>7407.56</v>
      </c>
      <c r="CZ6" s="26">
        <v>7557.86</v>
      </c>
      <c r="DA6" s="26">
        <v>7759.12</v>
      </c>
      <c r="DB6" s="26">
        <v>7434.14</v>
      </c>
      <c r="DC6" s="26">
        <v>7257.78</v>
      </c>
      <c r="DD6" s="26">
        <v>7164.98</v>
      </c>
      <c r="DE6" s="26">
        <v>7127.85</v>
      </c>
      <c r="DF6" s="26">
        <v>6914.95</v>
      </c>
      <c r="DG6" s="26">
        <v>7326.86</v>
      </c>
      <c r="DH6" s="26">
        <v>7287.5</v>
      </c>
      <c r="DI6" s="26">
        <v>7618.6</v>
      </c>
      <c r="DJ6" s="26">
        <v>8083.95</v>
      </c>
      <c r="DK6" s="26">
        <v>8123.54</v>
      </c>
      <c r="DL6" s="26">
        <v>8175.59</v>
      </c>
      <c r="DM6" s="26">
        <v>8503.31</v>
      </c>
      <c r="DN6" s="26">
        <v>8484.65</v>
      </c>
      <c r="DO6" s="26">
        <v>8461.7800000000007</v>
      </c>
      <c r="DP6" s="26">
        <v>8632.32</v>
      </c>
      <c r="DQ6" s="26">
        <v>8762.7199999999993</v>
      </c>
      <c r="DR6" s="26">
        <v>8807.33</v>
      </c>
      <c r="DS6" s="26">
        <v>8720.2099999999991</v>
      </c>
      <c r="DT6" s="26">
        <v>9035.84</v>
      </c>
      <c r="DU6" s="26">
        <v>8809.65</v>
      </c>
      <c r="DV6" s="26">
        <v>8766.5400000000009</v>
      </c>
      <c r="DW6" s="26">
        <v>9202.02</v>
      </c>
      <c r="DX6" s="26">
        <v>9343.2099999999991</v>
      </c>
      <c r="DY6" s="26">
        <v>9316.2999999999993</v>
      </c>
      <c r="DZ6" s="26">
        <v>9415.33</v>
      </c>
      <c r="EA6" s="26">
        <v>9207.4</v>
      </c>
      <c r="EB6" s="26">
        <v>9306.17</v>
      </c>
      <c r="EC6" s="26">
        <v>9255.15</v>
      </c>
      <c r="ED6" s="26">
        <v>9153.4500000000007</v>
      </c>
      <c r="EE6" s="26">
        <v>9166.64</v>
      </c>
      <c r="EF6" s="26">
        <v>9432.4</v>
      </c>
      <c r="EG6" s="26">
        <v>9215.6</v>
      </c>
      <c r="EH6" s="26">
        <v>9548.41</v>
      </c>
      <c r="EI6" s="26">
        <v>9255.33</v>
      </c>
      <c r="EJ6" s="26">
        <v>8666.32</v>
      </c>
      <c r="EK6" s="26">
        <v>7432.1</v>
      </c>
      <c r="EL6" s="26">
        <v>7475</v>
      </c>
      <c r="EM6" s="26">
        <v>8026.46</v>
      </c>
      <c r="EN6" s="26">
        <v>8219.5499999999993</v>
      </c>
      <c r="EO6" s="26">
        <v>8234.2900000000009</v>
      </c>
      <c r="EP6" s="26">
        <v>7961.79</v>
      </c>
      <c r="EQ6" s="26">
        <v>7956.83</v>
      </c>
      <c r="ER6" s="26">
        <v>8076.61</v>
      </c>
      <c r="ES6" s="26">
        <v>7999</v>
      </c>
      <c r="ET6" s="26">
        <v>8162.15</v>
      </c>
      <c r="EU6" s="26">
        <v>8355.19</v>
      </c>
      <c r="EV6" s="26">
        <v>8284.5400000000009</v>
      </c>
      <c r="EW6" s="26">
        <v>8309.4</v>
      </c>
      <c r="EX6" s="26">
        <v>8269.85</v>
      </c>
      <c r="EY6" s="26">
        <v>8588.5400000000009</v>
      </c>
      <c r="EZ6" s="26">
        <v>8590.2900000000009</v>
      </c>
      <c r="FA6" s="26">
        <v>8187.61</v>
      </c>
      <c r="FB6" s="26">
        <v>8209.4699999999993</v>
      </c>
      <c r="FC6" s="26">
        <v>7863.73</v>
      </c>
      <c r="FD6" s="26">
        <v>8148.55</v>
      </c>
      <c r="FE6" s="26">
        <v>8158.37</v>
      </c>
      <c r="FF6" s="26">
        <v>8241.39</v>
      </c>
      <c r="FG6" s="26">
        <v>8383.8700000000008</v>
      </c>
      <c r="FH6" s="26">
        <v>8323.57</v>
      </c>
      <c r="FI6" s="26">
        <v>8306.36</v>
      </c>
      <c r="FJ6" s="26">
        <v>8055.05</v>
      </c>
      <c r="FK6" s="26">
        <v>8221.75</v>
      </c>
      <c r="FL6" s="26">
        <v>8196.6200000000008</v>
      </c>
      <c r="FM6" s="26">
        <v>8061.03</v>
      </c>
      <c r="FN6" s="26">
        <v>8437.0300000000007</v>
      </c>
      <c r="FO6" s="26">
        <v>8532.2900000000009</v>
      </c>
      <c r="FP6" s="26">
        <v>9691.6299999999992</v>
      </c>
      <c r="FQ6" s="26">
        <v>10030.61</v>
      </c>
      <c r="FR6" s="26">
        <v>9980.44</v>
      </c>
      <c r="FS6" s="26">
        <v>10170.33</v>
      </c>
      <c r="FT6" s="26">
        <v>10276.879999999999</v>
      </c>
      <c r="FU6" s="26">
        <v>10159.200000000001</v>
      </c>
      <c r="FV6" s="28">
        <v>10192.280000000001</v>
      </c>
      <c r="FW6" s="28">
        <v>10265.290000000001</v>
      </c>
      <c r="FX6" s="28">
        <v>10311.61</v>
      </c>
      <c r="FY6" s="26">
        <v>10370.58</v>
      </c>
      <c r="FZ6" s="26">
        <v>10371.4</v>
      </c>
      <c r="GA6" s="26">
        <v>10424.68</v>
      </c>
      <c r="GB6" s="26">
        <v>10162.27</v>
      </c>
      <c r="GC6" s="26">
        <v>10100.6</v>
      </c>
      <c r="GD6" s="26">
        <v>10317.42</v>
      </c>
      <c r="GE6" s="26">
        <v>10408.5</v>
      </c>
      <c r="GF6" s="26">
        <v>10499.96</v>
      </c>
      <c r="GG6" s="26">
        <v>10331.280000000001</v>
      </c>
      <c r="GH6" s="26">
        <v>10578.71</v>
      </c>
      <c r="GI6" s="26">
        <v>10583.9</v>
      </c>
      <c r="GJ6" s="26">
        <v>10627.31</v>
      </c>
      <c r="GK6" s="26">
        <v>10388.4</v>
      </c>
      <c r="GL6" s="26">
        <v>9768.58</v>
      </c>
      <c r="GM6" s="26">
        <v>9608.43</v>
      </c>
      <c r="GN6" s="26">
        <v>9584.3700000000008</v>
      </c>
      <c r="GO6" s="26">
        <v>9487.34</v>
      </c>
      <c r="GP6" s="26">
        <v>9723.44</v>
      </c>
      <c r="GQ6" s="26">
        <v>10173.17</v>
      </c>
      <c r="GR6" s="26">
        <v>10362.48</v>
      </c>
      <c r="GS6" s="26">
        <v>10142.81</v>
      </c>
      <c r="GT6" s="26">
        <v>10156.82</v>
      </c>
      <c r="GU6" s="26">
        <v>10419.92</v>
      </c>
      <c r="GV6" s="26">
        <v>10109.67</v>
      </c>
      <c r="GW6" s="26">
        <v>10129.57</v>
      </c>
      <c r="GX6" s="26">
        <v>10756.96</v>
      </c>
      <c r="GY6" s="26">
        <v>10918.79</v>
      </c>
      <c r="GZ6" s="26">
        <v>10321.530000000001</v>
      </c>
      <c r="HA6" s="26">
        <v>10213.379999999999</v>
      </c>
      <c r="HB6" s="26">
        <v>10358.69</v>
      </c>
      <c r="HC6" s="26">
        <v>10301.61</v>
      </c>
      <c r="HD6" s="26">
        <v>10019.64</v>
      </c>
      <c r="HE6" s="26">
        <v>10858.36</v>
      </c>
      <c r="HF6" s="26">
        <v>11384.48</v>
      </c>
      <c r="HG6" s="26">
        <v>11568.85</v>
      </c>
      <c r="HH6" s="26">
        <v>11298.45</v>
      </c>
      <c r="HI6" s="26">
        <v>11870.5</v>
      </c>
      <c r="HJ6" s="26">
        <v>11993.75</v>
      </c>
      <c r="HK6" s="26">
        <v>11966.98</v>
      </c>
      <c r="HL6" s="26"/>
    </row>
    <row r="7" spans="1:220" ht="12.75" x14ac:dyDescent="0.2">
      <c r="A7" s="25"/>
      <c r="B7" s="25" t="s">
        <v>57</v>
      </c>
      <c r="C7" s="34">
        <f>SUM(M11:AN11)</f>
        <v>12177.91</v>
      </c>
      <c r="D7" s="29"/>
      <c r="E7" s="30"/>
      <c r="F7" s="29"/>
      <c r="G7" s="92"/>
      <c r="H7" s="92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8"/>
      <c r="FW7" s="28"/>
      <c r="FX7" s="28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</row>
    <row r="8" spans="1:220" ht="12.75" x14ac:dyDescent="0.2">
      <c r="A8" s="25"/>
      <c r="B8" s="25"/>
      <c r="C8" s="25"/>
      <c r="D8" s="29"/>
      <c r="E8" s="30"/>
      <c r="F8" s="29"/>
      <c r="G8" s="92"/>
      <c r="H8" s="9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8"/>
      <c r="V8" s="38"/>
      <c r="W8" s="38"/>
      <c r="X8" s="38"/>
      <c r="Y8" s="38"/>
      <c r="Z8" s="38"/>
      <c r="AA8" s="38"/>
      <c r="AB8" s="38"/>
      <c r="AC8" s="29"/>
      <c r="AD8" s="39"/>
      <c r="AE8" s="39"/>
      <c r="AF8" s="40"/>
      <c r="AG8" s="40"/>
      <c r="AH8" s="40"/>
      <c r="AI8" s="40"/>
      <c r="AJ8" s="40"/>
      <c r="AK8" s="41"/>
      <c r="AL8" s="4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5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8"/>
      <c r="FW8" s="28"/>
      <c r="FX8" s="28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</row>
    <row r="9" spans="1:220" ht="12.75" x14ac:dyDescent="0.2">
      <c r="A9" s="25"/>
      <c r="B9" s="29" t="s">
        <v>72</v>
      </c>
      <c r="C9" s="38">
        <f>C3+C4</f>
        <v>143775.42430000007</v>
      </c>
      <c r="D9" s="25"/>
      <c r="E9" s="37"/>
      <c r="I9" s="42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8"/>
      <c r="FW9" s="28"/>
      <c r="FX9" s="28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</row>
    <row r="10" spans="1:220" ht="12.75" x14ac:dyDescent="0.2">
      <c r="A10" s="25"/>
      <c r="B10" s="29"/>
      <c r="C10" s="29"/>
      <c r="D10" s="25"/>
      <c r="F10" s="29" t="s">
        <v>59</v>
      </c>
      <c r="G10" s="43">
        <v>43896</v>
      </c>
      <c r="H10" s="43">
        <v>43895</v>
      </c>
      <c r="I10" s="43">
        <v>43894</v>
      </c>
      <c r="J10" s="43">
        <f>I10-1</f>
        <v>43893</v>
      </c>
      <c r="K10" s="43">
        <f t="shared" ref="K10:T10" si="0">J10-1</f>
        <v>43892</v>
      </c>
      <c r="L10" s="43">
        <f t="shared" si="0"/>
        <v>43891</v>
      </c>
      <c r="M10" s="43">
        <f t="shared" si="0"/>
        <v>43890</v>
      </c>
      <c r="N10" s="43">
        <f t="shared" si="0"/>
        <v>43889</v>
      </c>
      <c r="O10" s="43">
        <f t="shared" si="0"/>
        <v>43888</v>
      </c>
      <c r="P10" s="43">
        <f t="shared" si="0"/>
        <v>43887</v>
      </c>
      <c r="Q10" s="43">
        <f t="shared" si="0"/>
        <v>43886</v>
      </c>
      <c r="R10" s="43">
        <f t="shared" si="0"/>
        <v>43885</v>
      </c>
      <c r="S10" s="43">
        <f t="shared" si="0"/>
        <v>43884</v>
      </c>
      <c r="T10" s="43">
        <f t="shared" si="0"/>
        <v>43883</v>
      </c>
      <c r="U10" s="44">
        <v>43882</v>
      </c>
      <c r="V10" s="45">
        <f t="shared" ref="V10:AB10" si="1">U10-1</f>
        <v>43881</v>
      </c>
      <c r="W10" s="45">
        <f t="shared" si="1"/>
        <v>43880</v>
      </c>
      <c r="X10" s="45">
        <f t="shared" si="1"/>
        <v>43879</v>
      </c>
      <c r="Y10" s="45">
        <f t="shared" si="1"/>
        <v>43878</v>
      </c>
      <c r="Z10" s="45">
        <f t="shared" si="1"/>
        <v>43877</v>
      </c>
      <c r="AA10" s="45">
        <f t="shared" si="1"/>
        <v>43876</v>
      </c>
      <c r="AB10" s="45">
        <f t="shared" si="1"/>
        <v>43875</v>
      </c>
      <c r="AC10" s="45">
        <f t="shared" ref="AC10:HK10" si="2">AB10-1</f>
        <v>43874</v>
      </c>
      <c r="AD10" s="45">
        <f t="shared" si="2"/>
        <v>43873</v>
      </c>
      <c r="AE10" s="45">
        <f t="shared" si="2"/>
        <v>43872</v>
      </c>
      <c r="AF10" s="45">
        <f t="shared" si="2"/>
        <v>43871</v>
      </c>
      <c r="AG10" s="45">
        <f t="shared" si="2"/>
        <v>43870</v>
      </c>
      <c r="AH10" s="45">
        <f t="shared" si="2"/>
        <v>43869</v>
      </c>
      <c r="AI10" s="45">
        <f t="shared" si="2"/>
        <v>43868</v>
      </c>
      <c r="AJ10" s="45">
        <f t="shared" si="2"/>
        <v>43867</v>
      </c>
      <c r="AK10" s="45">
        <f t="shared" si="2"/>
        <v>43866</v>
      </c>
      <c r="AL10" s="45">
        <f t="shared" si="2"/>
        <v>43865</v>
      </c>
      <c r="AM10" s="45">
        <f t="shared" si="2"/>
        <v>43864</v>
      </c>
      <c r="AN10" s="45">
        <f t="shared" si="2"/>
        <v>43863</v>
      </c>
      <c r="AO10" s="45">
        <f t="shared" si="2"/>
        <v>43862</v>
      </c>
      <c r="AP10" s="45">
        <f t="shared" si="2"/>
        <v>43861</v>
      </c>
      <c r="AQ10" s="45">
        <f t="shared" si="2"/>
        <v>43860</v>
      </c>
      <c r="AR10" s="45">
        <f t="shared" si="2"/>
        <v>43859</v>
      </c>
      <c r="AS10" s="45">
        <f t="shared" si="2"/>
        <v>43858</v>
      </c>
      <c r="AT10" s="45">
        <f t="shared" si="2"/>
        <v>43857</v>
      </c>
      <c r="AU10" s="45">
        <f t="shared" si="2"/>
        <v>43856</v>
      </c>
      <c r="AV10" s="45">
        <f t="shared" si="2"/>
        <v>43855</v>
      </c>
      <c r="AW10" s="45">
        <f t="shared" si="2"/>
        <v>43854</v>
      </c>
      <c r="AX10" s="45">
        <f t="shared" si="2"/>
        <v>43853</v>
      </c>
      <c r="AY10" s="45">
        <f t="shared" si="2"/>
        <v>43852</v>
      </c>
      <c r="AZ10" s="45">
        <f t="shared" si="2"/>
        <v>43851</v>
      </c>
      <c r="BA10" s="45">
        <f t="shared" si="2"/>
        <v>43850</v>
      </c>
      <c r="BB10" s="45">
        <f t="shared" si="2"/>
        <v>43849</v>
      </c>
      <c r="BC10" s="45">
        <f t="shared" si="2"/>
        <v>43848</v>
      </c>
      <c r="BD10" s="45">
        <f t="shared" si="2"/>
        <v>43847</v>
      </c>
      <c r="BE10" s="45">
        <f t="shared" si="2"/>
        <v>43846</v>
      </c>
      <c r="BF10" s="45">
        <f t="shared" si="2"/>
        <v>43845</v>
      </c>
      <c r="BG10" s="45">
        <f t="shared" si="2"/>
        <v>43844</v>
      </c>
      <c r="BH10" s="45">
        <f t="shared" si="2"/>
        <v>43843</v>
      </c>
      <c r="BI10" s="45">
        <f t="shared" si="2"/>
        <v>43842</v>
      </c>
      <c r="BJ10" s="45">
        <f t="shared" si="2"/>
        <v>43841</v>
      </c>
      <c r="BK10" s="45">
        <f t="shared" si="2"/>
        <v>43840</v>
      </c>
      <c r="BL10" s="45">
        <f t="shared" si="2"/>
        <v>43839</v>
      </c>
      <c r="BM10" s="45">
        <f t="shared" si="2"/>
        <v>43838</v>
      </c>
      <c r="BN10" s="45">
        <f t="shared" si="2"/>
        <v>43837</v>
      </c>
      <c r="BO10" s="45">
        <f t="shared" si="2"/>
        <v>43836</v>
      </c>
      <c r="BP10" s="45">
        <f t="shared" si="2"/>
        <v>43835</v>
      </c>
      <c r="BQ10" s="45">
        <f t="shared" si="2"/>
        <v>43834</v>
      </c>
      <c r="BR10" s="45">
        <f t="shared" si="2"/>
        <v>43833</v>
      </c>
      <c r="BS10" s="45">
        <f t="shared" si="2"/>
        <v>43832</v>
      </c>
      <c r="BT10" s="45">
        <f t="shared" si="2"/>
        <v>43831</v>
      </c>
      <c r="BU10" s="45">
        <f t="shared" si="2"/>
        <v>43830</v>
      </c>
      <c r="BV10" s="45">
        <f t="shared" si="2"/>
        <v>43829</v>
      </c>
      <c r="BW10" s="45">
        <f t="shared" si="2"/>
        <v>43828</v>
      </c>
      <c r="BX10" s="45">
        <f t="shared" si="2"/>
        <v>43827</v>
      </c>
      <c r="BY10" s="45">
        <f t="shared" si="2"/>
        <v>43826</v>
      </c>
      <c r="BZ10" s="45">
        <f t="shared" si="2"/>
        <v>43825</v>
      </c>
      <c r="CA10" s="45">
        <f t="shared" si="2"/>
        <v>43824</v>
      </c>
      <c r="CB10" s="45">
        <f t="shared" si="2"/>
        <v>43823</v>
      </c>
      <c r="CC10" s="45">
        <f t="shared" si="2"/>
        <v>43822</v>
      </c>
      <c r="CD10" s="45">
        <f t="shared" si="2"/>
        <v>43821</v>
      </c>
      <c r="CE10" s="45">
        <f t="shared" si="2"/>
        <v>43820</v>
      </c>
      <c r="CF10" s="45">
        <f t="shared" si="2"/>
        <v>43819</v>
      </c>
      <c r="CG10" s="45">
        <f t="shared" si="2"/>
        <v>43818</v>
      </c>
      <c r="CH10" s="45">
        <f t="shared" si="2"/>
        <v>43817</v>
      </c>
      <c r="CI10" s="45">
        <f t="shared" si="2"/>
        <v>43816</v>
      </c>
      <c r="CJ10" s="45">
        <f t="shared" si="2"/>
        <v>43815</v>
      </c>
      <c r="CK10" s="45">
        <f t="shared" si="2"/>
        <v>43814</v>
      </c>
      <c r="CL10" s="45">
        <f t="shared" si="2"/>
        <v>43813</v>
      </c>
      <c r="CM10" s="45">
        <f t="shared" si="2"/>
        <v>43812</v>
      </c>
      <c r="CN10" s="45">
        <f t="shared" si="2"/>
        <v>43811</v>
      </c>
      <c r="CO10" s="45">
        <f t="shared" si="2"/>
        <v>43810</v>
      </c>
      <c r="CP10" s="45">
        <f t="shared" si="2"/>
        <v>43809</v>
      </c>
      <c r="CQ10" s="45">
        <f t="shared" si="2"/>
        <v>43808</v>
      </c>
      <c r="CR10" s="45">
        <f t="shared" si="2"/>
        <v>43807</v>
      </c>
      <c r="CS10" s="45">
        <f t="shared" si="2"/>
        <v>43806</v>
      </c>
      <c r="CT10" s="45">
        <f t="shared" si="2"/>
        <v>43805</v>
      </c>
      <c r="CU10" s="45">
        <f t="shared" si="2"/>
        <v>43804</v>
      </c>
      <c r="CV10" s="45">
        <f t="shared" si="2"/>
        <v>43803</v>
      </c>
      <c r="CW10" s="45">
        <f t="shared" si="2"/>
        <v>43802</v>
      </c>
      <c r="CX10" s="45">
        <f t="shared" si="2"/>
        <v>43801</v>
      </c>
      <c r="CY10" s="45">
        <f t="shared" si="2"/>
        <v>43800</v>
      </c>
      <c r="CZ10" s="45">
        <f t="shared" si="2"/>
        <v>43799</v>
      </c>
      <c r="DA10" s="45">
        <f t="shared" si="2"/>
        <v>43798</v>
      </c>
      <c r="DB10" s="45">
        <f t="shared" si="2"/>
        <v>43797</v>
      </c>
      <c r="DC10" s="45">
        <f t="shared" si="2"/>
        <v>43796</v>
      </c>
      <c r="DD10" s="45">
        <f t="shared" si="2"/>
        <v>43795</v>
      </c>
      <c r="DE10" s="45">
        <f t="shared" si="2"/>
        <v>43794</v>
      </c>
      <c r="DF10" s="45">
        <f t="shared" si="2"/>
        <v>43793</v>
      </c>
      <c r="DG10" s="45">
        <f t="shared" si="2"/>
        <v>43792</v>
      </c>
      <c r="DH10" s="45">
        <f t="shared" si="2"/>
        <v>43791</v>
      </c>
      <c r="DI10" s="45">
        <f t="shared" si="2"/>
        <v>43790</v>
      </c>
      <c r="DJ10" s="45">
        <f t="shared" si="2"/>
        <v>43789</v>
      </c>
      <c r="DK10" s="45">
        <f t="shared" si="2"/>
        <v>43788</v>
      </c>
      <c r="DL10" s="45">
        <f t="shared" si="2"/>
        <v>43787</v>
      </c>
      <c r="DM10" s="45">
        <f t="shared" si="2"/>
        <v>43786</v>
      </c>
      <c r="DN10" s="45">
        <f t="shared" si="2"/>
        <v>43785</v>
      </c>
      <c r="DO10" s="45">
        <f t="shared" si="2"/>
        <v>43784</v>
      </c>
      <c r="DP10" s="45">
        <f t="shared" si="2"/>
        <v>43783</v>
      </c>
      <c r="DQ10" s="45">
        <f t="shared" si="2"/>
        <v>43782</v>
      </c>
      <c r="DR10" s="45">
        <f t="shared" si="2"/>
        <v>43781</v>
      </c>
      <c r="DS10" s="45">
        <f t="shared" si="2"/>
        <v>43780</v>
      </c>
      <c r="DT10" s="45">
        <f t="shared" si="2"/>
        <v>43779</v>
      </c>
      <c r="DU10" s="45">
        <f t="shared" si="2"/>
        <v>43778</v>
      </c>
      <c r="DV10" s="45">
        <f t="shared" si="2"/>
        <v>43777</v>
      </c>
      <c r="DW10" s="45">
        <f t="shared" si="2"/>
        <v>43776</v>
      </c>
      <c r="DX10" s="45">
        <f t="shared" si="2"/>
        <v>43775</v>
      </c>
      <c r="DY10" s="45">
        <f t="shared" si="2"/>
        <v>43774</v>
      </c>
      <c r="DZ10" s="45">
        <f t="shared" si="2"/>
        <v>43773</v>
      </c>
      <c r="EA10" s="45">
        <f t="shared" si="2"/>
        <v>43772</v>
      </c>
      <c r="EB10" s="45">
        <f t="shared" si="2"/>
        <v>43771</v>
      </c>
      <c r="EC10" s="45">
        <f t="shared" si="2"/>
        <v>43770</v>
      </c>
      <c r="ED10" s="45">
        <f t="shared" si="2"/>
        <v>43769</v>
      </c>
      <c r="EE10" s="45">
        <f t="shared" si="2"/>
        <v>43768</v>
      </c>
      <c r="EF10" s="45">
        <f t="shared" si="2"/>
        <v>43767</v>
      </c>
      <c r="EG10" s="45">
        <f t="shared" si="2"/>
        <v>43766</v>
      </c>
      <c r="EH10" s="45">
        <f t="shared" si="2"/>
        <v>43765</v>
      </c>
      <c r="EI10" s="45">
        <f t="shared" si="2"/>
        <v>43764</v>
      </c>
      <c r="EJ10" s="45">
        <f t="shared" si="2"/>
        <v>43763</v>
      </c>
      <c r="EK10" s="45">
        <f t="shared" si="2"/>
        <v>43762</v>
      </c>
      <c r="EL10" s="45">
        <f t="shared" si="2"/>
        <v>43761</v>
      </c>
      <c r="EM10" s="45">
        <f t="shared" si="2"/>
        <v>43760</v>
      </c>
      <c r="EN10" s="45">
        <f t="shared" si="2"/>
        <v>43759</v>
      </c>
      <c r="EO10" s="45">
        <f t="shared" si="2"/>
        <v>43758</v>
      </c>
      <c r="EP10" s="45">
        <f t="shared" si="2"/>
        <v>43757</v>
      </c>
      <c r="EQ10" s="45">
        <f t="shared" si="2"/>
        <v>43756</v>
      </c>
      <c r="ER10" s="45">
        <f t="shared" si="2"/>
        <v>43755</v>
      </c>
      <c r="ES10" s="45">
        <f t="shared" si="2"/>
        <v>43754</v>
      </c>
      <c r="ET10" s="45">
        <f t="shared" si="2"/>
        <v>43753</v>
      </c>
      <c r="EU10" s="45">
        <f t="shared" si="2"/>
        <v>43752</v>
      </c>
      <c r="EV10" s="45">
        <f t="shared" si="2"/>
        <v>43751</v>
      </c>
      <c r="EW10" s="45">
        <f t="shared" si="2"/>
        <v>43750</v>
      </c>
      <c r="EX10" s="45">
        <f t="shared" si="2"/>
        <v>43749</v>
      </c>
      <c r="EY10" s="45">
        <f t="shared" si="2"/>
        <v>43748</v>
      </c>
      <c r="EZ10" s="45">
        <f t="shared" si="2"/>
        <v>43747</v>
      </c>
      <c r="FA10" s="45">
        <f t="shared" si="2"/>
        <v>43746</v>
      </c>
      <c r="FB10" s="45">
        <f t="shared" si="2"/>
        <v>43745</v>
      </c>
      <c r="FC10" s="45">
        <f t="shared" si="2"/>
        <v>43744</v>
      </c>
      <c r="FD10" s="45">
        <f t="shared" si="2"/>
        <v>43743</v>
      </c>
      <c r="FE10" s="45">
        <f t="shared" si="2"/>
        <v>43742</v>
      </c>
      <c r="FF10" s="45">
        <f t="shared" si="2"/>
        <v>43741</v>
      </c>
      <c r="FG10" s="45">
        <f t="shared" si="2"/>
        <v>43740</v>
      </c>
      <c r="FH10" s="45">
        <f t="shared" si="2"/>
        <v>43739</v>
      </c>
      <c r="FI10" s="45">
        <f t="shared" si="2"/>
        <v>43738</v>
      </c>
      <c r="FJ10" s="45">
        <f t="shared" si="2"/>
        <v>43737</v>
      </c>
      <c r="FK10" s="45">
        <f t="shared" si="2"/>
        <v>43736</v>
      </c>
      <c r="FL10" s="45">
        <f t="shared" si="2"/>
        <v>43735</v>
      </c>
      <c r="FM10" s="45">
        <f t="shared" si="2"/>
        <v>43734</v>
      </c>
      <c r="FN10" s="45">
        <f t="shared" si="2"/>
        <v>43733</v>
      </c>
      <c r="FO10" s="45">
        <f t="shared" si="2"/>
        <v>43732</v>
      </c>
      <c r="FP10" s="45">
        <f t="shared" si="2"/>
        <v>43731</v>
      </c>
      <c r="FQ10" s="45">
        <f t="shared" si="2"/>
        <v>43730</v>
      </c>
      <c r="FR10" s="45">
        <f t="shared" si="2"/>
        <v>43729</v>
      </c>
      <c r="FS10" s="45">
        <f t="shared" si="2"/>
        <v>43728</v>
      </c>
      <c r="FT10" s="45">
        <f t="shared" si="2"/>
        <v>43727</v>
      </c>
      <c r="FU10" s="45">
        <f t="shared" si="2"/>
        <v>43726</v>
      </c>
      <c r="FV10" s="46">
        <f t="shared" si="2"/>
        <v>43725</v>
      </c>
      <c r="FW10" s="46">
        <f t="shared" si="2"/>
        <v>43724</v>
      </c>
      <c r="FX10" s="46">
        <f t="shared" si="2"/>
        <v>43723</v>
      </c>
      <c r="FY10" s="45">
        <f t="shared" si="2"/>
        <v>43722</v>
      </c>
      <c r="FZ10" s="45">
        <f t="shared" si="2"/>
        <v>43721</v>
      </c>
      <c r="GA10" s="45">
        <f t="shared" si="2"/>
        <v>43720</v>
      </c>
      <c r="GB10" s="45">
        <f t="shared" si="2"/>
        <v>43719</v>
      </c>
      <c r="GC10" s="45">
        <f t="shared" si="2"/>
        <v>43718</v>
      </c>
      <c r="GD10" s="45">
        <f t="shared" si="2"/>
        <v>43717</v>
      </c>
      <c r="GE10" s="45">
        <f t="shared" si="2"/>
        <v>43716</v>
      </c>
      <c r="GF10" s="45">
        <f t="shared" si="2"/>
        <v>43715</v>
      </c>
      <c r="GG10" s="45">
        <f t="shared" si="2"/>
        <v>43714</v>
      </c>
      <c r="GH10" s="45">
        <f t="shared" si="2"/>
        <v>43713</v>
      </c>
      <c r="GI10" s="45">
        <f t="shared" si="2"/>
        <v>43712</v>
      </c>
      <c r="GJ10" s="45">
        <f t="shared" si="2"/>
        <v>43711</v>
      </c>
      <c r="GK10" s="45">
        <f t="shared" si="2"/>
        <v>43710</v>
      </c>
      <c r="GL10" s="45">
        <f t="shared" si="2"/>
        <v>43709</v>
      </c>
      <c r="GM10" s="45">
        <f t="shared" si="2"/>
        <v>43708</v>
      </c>
      <c r="GN10" s="45">
        <f t="shared" si="2"/>
        <v>43707</v>
      </c>
      <c r="GO10" s="45">
        <f t="shared" si="2"/>
        <v>43706</v>
      </c>
      <c r="GP10" s="45">
        <f t="shared" si="2"/>
        <v>43705</v>
      </c>
      <c r="GQ10" s="45">
        <f t="shared" si="2"/>
        <v>43704</v>
      </c>
      <c r="GR10" s="45">
        <f t="shared" si="2"/>
        <v>43703</v>
      </c>
      <c r="GS10" s="45">
        <f t="shared" si="2"/>
        <v>43702</v>
      </c>
      <c r="GT10" s="45">
        <f t="shared" si="2"/>
        <v>43701</v>
      </c>
      <c r="GU10" s="45">
        <f t="shared" si="2"/>
        <v>43700</v>
      </c>
      <c r="GV10" s="45">
        <f t="shared" si="2"/>
        <v>43699</v>
      </c>
      <c r="GW10" s="45">
        <f t="shared" si="2"/>
        <v>43698</v>
      </c>
      <c r="GX10" s="45">
        <f t="shared" si="2"/>
        <v>43697</v>
      </c>
      <c r="GY10" s="45">
        <f t="shared" si="2"/>
        <v>43696</v>
      </c>
      <c r="GZ10" s="45">
        <f t="shared" si="2"/>
        <v>43695</v>
      </c>
      <c r="HA10" s="45">
        <f t="shared" si="2"/>
        <v>43694</v>
      </c>
      <c r="HB10" s="45">
        <f t="shared" si="2"/>
        <v>43693</v>
      </c>
      <c r="HC10" s="45">
        <f t="shared" si="2"/>
        <v>43692</v>
      </c>
      <c r="HD10" s="45">
        <f t="shared" si="2"/>
        <v>43691</v>
      </c>
      <c r="HE10" s="45">
        <f t="shared" si="2"/>
        <v>43690</v>
      </c>
      <c r="HF10" s="45">
        <f t="shared" si="2"/>
        <v>43689</v>
      </c>
      <c r="HG10" s="45">
        <f t="shared" si="2"/>
        <v>43688</v>
      </c>
      <c r="HH10" s="45">
        <f t="shared" si="2"/>
        <v>43687</v>
      </c>
      <c r="HI10" s="45">
        <f t="shared" si="2"/>
        <v>43686</v>
      </c>
      <c r="HJ10" s="45">
        <f t="shared" si="2"/>
        <v>43685</v>
      </c>
      <c r="HK10" s="45">
        <f t="shared" si="2"/>
        <v>43684</v>
      </c>
      <c r="HL10" s="47"/>
    </row>
    <row r="11" spans="1:220" ht="25.5" x14ac:dyDescent="0.2">
      <c r="A11" s="88" t="s">
        <v>0</v>
      </c>
      <c r="B11" s="88" t="s">
        <v>85</v>
      </c>
      <c r="C11" s="88" t="s">
        <v>86</v>
      </c>
      <c r="D11" s="89" t="s">
        <v>87</v>
      </c>
      <c r="E11" s="48" t="s">
        <v>88</v>
      </c>
      <c r="F11" s="49" t="s">
        <v>89</v>
      </c>
      <c r="G11" s="49">
        <v>480</v>
      </c>
      <c r="H11" s="49">
        <v>504</v>
      </c>
      <c r="I11" s="50">
        <v>0</v>
      </c>
      <c r="J11" s="50">
        <f t="shared" ref="J11:AL11" si="3">SUM(J12:J1028)</f>
        <v>173</v>
      </c>
      <c r="K11" s="50">
        <f t="shared" si="3"/>
        <v>607</v>
      </c>
      <c r="L11" s="50">
        <f t="shared" si="3"/>
        <v>0</v>
      </c>
      <c r="M11" s="50">
        <f t="shared" si="3"/>
        <v>379.45000000000005</v>
      </c>
      <c r="N11" s="50">
        <f t="shared" si="3"/>
        <v>394.8</v>
      </c>
      <c r="O11" s="50">
        <f t="shared" si="3"/>
        <v>629.05999999999995</v>
      </c>
      <c r="P11" s="50">
        <f t="shared" si="3"/>
        <v>154</v>
      </c>
      <c r="Q11" s="50">
        <f t="shared" si="3"/>
        <v>340</v>
      </c>
      <c r="R11" s="50">
        <f t="shared" si="3"/>
        <v>1195</v>
      </c>
      <c r="S11" s="50">
        <f t="shared" si="3"/>
        <v>1049</v>
      </c>
      <c r="T11" s="50">
        <f t="shared" si="3"/>
        <v>0</v>
      </c>
      <c r="U11" s="50">
        <f t="shared" si="3"/>
        <v>0</v>
      </c>
      <c r="V11" s="50">
        <f t="shared" si="3"/>
        <v>0</v>
      </c>
      <c r="W11" s="50">
        <f t="shared" si="3"/>
        <v>0</v>
      </c>
      <c r="X11" s="50">
        <f t="shared" si="3"/>
        <v>0</v>
      </c>
      <c r="Y11" s="50">
        <f t="shared" si="3"/>
        <v>0</v>
      </c>
      <c r="Z11" s="50">
        <f t="shared" si="3"/>
        <v>150</v>
      </c>
      <c r="AA11" s="50">
        <f t="shared" si="3"/>
        <v>331</v>
      </c>
      <c r="AB11" s="50">
        <f t="shared" si="3"/>
        <v>364</v>
      </c>
      <c r="AC11" s="50">
        <f t="shared" si="3"/>
        <v>300.60000000000002</v>
      </c>
      <c r="AD11" s="50">
        <f t="shared" si="3"/>
        <v>468</v>
      </c>
      <c r="AE11" s="50">
        <f t="shared" si="3"/>
        <v>717</v>
      </c>
      <c r="AF11" s="50">
        <f t="shared" si="3"/>
        <v>757</v>
      </c>
      <c r="AG11" s="50">
        <f t="shared" si="3"/>
        <v>1562</v>
      </c>
      <c r="AH11" s="50">
        <f t="shared" si="3"/>
        <v>439</v>
      </c>
      <c r="AI11" s="50">
        <f t="shared" si="3"/>
        <v>996</v>
      </c>
      <c r="AJ11" s="50">
        <f t="shared" si="3"/>
        <v>1086</v>
      </c>
      <c r="AK11" s="50">
        <f t="shared" si="3"/>
        <v>623</v>
      </c>
      <c r="AL11" s="50">
        <f t="shared" si="3"/>
        <v>243</v>
      </c>
      <c r="AM11" s="50">
        <f t="shared" ref="AM11:BR11" si="4">SUM(AM44:AM1028)</f>
        <v>0</v>
      </c>
      <c r="AN11" s="50">
        <f t="shared" si="4"/>
        <v>0</v>
      </c>
      <c r="AO11" s="50">
        <f t="shared" si="4"/>
        <v>0</v>
      </c>
      <c r="AP11" s="50">
        <f t="shared" si="4"/>
        <v>0</v>
      </c>
      <c r="AQ11" s="50">
        <f t="shared" si="4"/>
        <v>0</v>
      </c>
      <c r="AR11" s="50">
        <f t="shared" si="4"/>
        <v>0</v>
      </c>
      <c r="AS11" s="50">
        <f t="shared" si="4"/>
        <v>0</v>
      </c>
      <c r="AT11" s="50">
        <f t="shared" si="4"/>
        <v>0</v>
      </c>
      <c r="AU11" s="50">
        <f t="shared" si="4"/>
        <v>0</v>
      </c>
      <c r="AV11" s="50">
        <f t="shared" si="4"/>
        <v>0</v>
      </c>
      <c r="AW11" s="50">
        <f t="shared" si="4"/>
        <v>0</v>
      </c>
      <c r="AX11" s="50">
        <f t="shared" si="4"/>
        <v>0</v>
      </c>
      <c r="AY11" s="50">
        <f t="shared" si="4"/>
        <v>0</v>
      </c>
      <c r="AZ11" s="50">
        <f t="shared" si="4"/>
        <v>0</v>
      </c>
      <c r="BA11" s="50">
        <f t="shared" si="4"/>
        <v>0</v>
      </c>
      <c r="BB11" s="50">
        <f t="shared" si="4"/>
        <v>201</v>
      </c>
      <c r="BC11" s="50">
        <f t="shared" si="4"/>
        <v>0</v>
      </c>
      <c r="BD11" s="50">
        <f t="shared" si="4"/>
        <v>812</v>
      </c>
      <c r="BE11" s="50">
        <f t="shared" si="4"/>
        <v>490</v>
      </c>
      <c r="BF11" s="50">
        <f t="shared" si="4"/>
        <v>724</v>
      </c>
      <c r="BG11" s="50">
        <f t="shared" si="4"/>
        <v>192</v>
      </c>
      <c r="BH11" s="50">
        <f t="shared" si="4"/>
        <v>602</v>
      </c>
      <c r="BI11" s="50">
        <f t="shared" si="4"/>
        <v>1192.5</v>
      </c>
      <c r="BJ11" s="50">
        <f t="shared" si="4"/>
        <v>428</v>
      </c>
      <c r="BK11" s="50">
        <f t="shared" si="4"/>
        <v>128</v>
      </c>
      <c r="BL11" s="50">
        <f t="shared" si="4"/>
        <v>370</v>
      </c>
      <c r="BM11" s="50">
        <f t="shared" si="4"/>
        <v>209.54</v>
      </c>
      <c r="BN11" s="50">
        <f t="shared" si="4"/>
        <v>20</v>
      </c>
      <c r="BO11" s="50">
        <f t="shared" si="4"/>
        <v>365</v>
      </c>
      <c r="BP11" s="50">
        <f t="shared" si="4"/>
        <v>358</v>
      </c>
      <c r="BQ11" s="50">
        <f t="shared" si="4"/>
        <v>0</v>
      </c>
      <c r="BR11" s="50">
        <f t="shared" si="4"/>
        <v>263</v>
      </c>
      <c r="BS11" s="50">
        <f t="shared" ref="BS11:CX11" si="5">SUM(BS44:BS1028)</f>
        <v>226</v>
      </c>
      <c r="BT11" s="50">
        <f t="shared" si="5"/>
        <v>681</v>
      </c>
      <c r="BU11" s="50">
        <f t="shared" si="5"/>
        <v>0</v>
      </c>
      <c r="BV11" s="50">
        <f t="shared" si="5"/>
        <v>0</v>
      </c>
      <c r="BW11" s="50">
        <f t="shared" si="5"/>
        <v>0</v>
      </c>
      <c r="BX11" s="50">
        <f t="shared" si="5"/>
        <v>86</v>
      </c>
      <c r="BY11" s="50">
        <f t="shared" si="5"/>
        <v>283</v>
      </c>
      <c r="BZ11" s="50">
        <f t="shared" si="5"/>
        <v>213</v>
      </c>
      <c r="CA11" s="50">
        <f t="shared" si="5"/>
        <v>402</v>
      </c>
      <c r="CB11" s="50">
        <f t="shared" si="5"/>
        <v>393</v>
      </c>
      <c r="CC11" s="50">
        <f t="shared" si="5"/>
        <v>0</v>
      </c>
      <c r="CD11" s="50">
        <f t="shared" si="5"/>
        <v>0</v>
      </c>
      <c r="CE11" s="50">
        <f t="shared" si="5"/>
        <v>0</v>
      </c>
      <c r="CF11" s="50">
        <f t="shared" si="5"/>
        <v>0</v>
      </c>
      <c r="CG11" s="50">
        <f t="shared" si="5"/>
        <v>0</v>
      </c>
      <c r="CH11" s="50">
        <f t="shared" si="5"/>
        <v>0</v>
      </c>
      <c r="CI11" s="50">
        <f t="shared" si="5"/>
        <v>0</v>
      </c>
      <c r="CJ11" s="50">
        <f t="shared" si="5"/>
        <v>63</v>
      </c>
      <c r="CK11" s="50">
        <f t="shared" si="5"/>
        <v>0</v>
      </c>
      <c r="CL11" s="50">
        <f t="shared" si="5"/>
        <v>0</v>
      </c>
      <c r="CM11" s="50">
        <f t="shared" si="5"/>
        <v>0</v>
      </c>
      <c r="CN11" s="50">
        <f t="shared" si="5"/>
        <v>0</v>
      </c>
      <c r="CO11" s="50">
        <f t="shared" si="5"/>
        <v>0</v>
      </c>
      <c r="CP11" s="50">
        <f t="shared" si="5"/>
        <v>0</v>
      </c>
      <c r="CQ11" s="50">
        <f t="shared" si="5"/>
        <v>0</v>
      </c>
      <c r="CR11" s="50">
        <f t="shared" si="5"/>
        <v>0</v>
      </c>
      <c r="CS11" s="50">
        <f t="shared" si="5"/>
        <v>55</v>
      </c>
      <c r="CT11" s="50">
        <f t="shared" si="5"/>
        <v>252.92</v>
      </c>
      <c r="CU11" s="50">
        <f t="shared" si="5"/>
        <v>317.90000000000003</v>
      </c>
      <c r="CV11" s="50">
        <f t="shared" si="5"/>
        <v>252.8</v>
      </c>
      <c r="CW11" s="50">
        <f t="shared" si="5"/>
        <v>165</v>
      </c>
      <c r="CX11" s="50">
        <f t="shared" si="5"/>
        <v>290</v>
      </c>
      <c r="CY11" s="50">
        <f t="shared" ref="CY11:ED11" si="6">SUM(CY44:CY1028)</f>
        <v>104</v>
      </c>
      <c r="CZ11" s="50">
        <f t="shared" si="6"/>
        <v>0</v>
      </c>
      <c r="DA11" s="50">
        <f t="shared" si="6"/>
        <v>0</v>
      </c>
      <c r="DB11" s="50">
        <f t="shared" si="6"/>
        <v>332</v>
      </c>
      <c r="DC11" s="50">
        <f t="shared" si="6"/>
        <v>156</v>
      </c>
      <c r="DD11" s="50">
        <f t="shared" si="6"/>
        <v>672</v>
      </c>
      <c r="DE11" s="50">
        <f t="shared" si="6"/>
        <v>593</v>
      </c>
      <c r="DF11" s="50">
        <f t="shared" si="6"/>
        <v>0</v>
      </c>
      <c r="DG11" s="50">
        <f t="shared" si="6"/>
        <v>594</v>
      </c>
      <c r="DH11" s="50">
        <f t="shared" si="6"/>
        <v>250</v>
      </c>
      <c r="DI11" s="50">
        <f t="shared" si="6"/>
        <v>571</v>
      </c>
      <c r="DJ11" s="50">
        <f t="shared" si="6"/>
        <v>1869.3550000000002</v>
      </c>
      <c r="DK11" s="50">
        <f t="shared" si="6"/>
        <v>1164.25</v>
      </c>
      <c r="DL11" s="50">
        <f t="shared" si="6"/>
        <v>2397.6</v>
      </c>
      <c r="DM11" s="50">
        <f t="shared" si="6"/>
        <v>1456.11</v>
      </c>
      <c r="DN11" s="50">
        <f t="shared" si="6"/>
        <v>1512.3700000000001</v>
      </c>
      <c r="DO11" s="50">
        <f t="shared" si="6"/>
        <v>1544.27</v>
      </c>
      <c r="DP11" s="50">
        <f t="shared" si="6"/>
        <v>377</v>
      </c>
      <c r="DQ11" s="50">
        <f t="shared" si="6"/>
        <v>1902</v>
      </c>
      <c r="DR11" s="50">
        <f t="shared" si="6"/>
        <v>2063.46</v>
      </c>
      <c r="DS11" s="50">
        <f t="shared" si="6"/>
        <v>4226.26</v>
      </c>
      <c r="DT11" s="50">
        <f t="shared" si="6"/>
        <v>1836.1999999999998</v>
      </c>
      <c r="DU11" s="50">
        <f t="shared" si="6"/>
        <v>1998.1000000000001</v>
      </c>
      <c r="DV11" s="50">
        <f t="shared" si="6"/>
        <v>807</v>
      </c>
      <c r="DW11" s="50">
        <f t="shared" si="6"/>
        <v>347</v>
      </c>
      <c r="DX11" s="50">
        <f t="shared" si="6"/>
        <v>1578.7999999999997</v>
      </c>
      <c r="DY11" s="50">
        <f t="shared" si="6"/>
        <v>2258.16</v>
      </c>
      <c r="DZ11" s="50">
        <f t="shared" si="6"/>
        <v>1949.6299999999999</v>
      </c>
      <c r="EA11" s="50">
        <f t="shared" si="6"/>
        <v>2770.12</v>
      </c>
      <c r="EB11" s="50">
        <f t="shared" si="6"/>
        <v>0</v>
      </c>
      <c r="EC11" s="50">
        <f t="shared" si="6"/>
        <v>0</v>
      </c>
      <c r="ED11" s="50">
        <f t="shared" si="6"/>
        <v>375.35000000000008</v>
      </c>
      <c r="EE11" s="50">
        <f t="shared" ref="EE11:FJ11" si="7">SUM(EE44:EE1028)</f>
        <v>2012.22</v>
      </c>
      <c r="EF11" s="50">
        <f t="shared" si="7"/>
        <v>1527.8700000000001</v>
      </c>
      <c r="EG11" s="50">
        <f t="shared" si="7"/>
        <v>318.60000000000002</v>
      </c>
      <c r="EH11" s="50">
        <f t="shared" si="7"/>
        <v>811.5</v>
      </c>
      <c r="EI11" s="50">
        <f t="shared" si="7"/>
        <v>0</v>
      </c>
      <c r="EJ11" s="50">
        <f t="shared" si="7"/>
        <v>0</v>
      </c>
      <c r="EK11" s="50">
        <f t="shared" si="7"/>
        <v>0</v>
      </c>
      <c r="EL11" s="50">
        <f t="shared" si="7"/>
        <v>0</v>
      </c>
      <c r="EM11" s="50">
        <f t="shared" si="7"/>
        <v>0</v>
      </c>
      <c r="EN11" s="50">
        <f t="shared" si="7"/>
        <v>0</v>
      </c>
      <c r="EO11" s="50">
        <f t="shared" si="7"/>
        <v>0</v>
      </c>
      <c r="EP11" s="50">
        <f t="shared" si="7"/>
        <v>0</v>
      </c>
      <c r="EQ11" s="50">
        <f t="shared" si="7"/>
        <v>0</v>
      </c>
      <c r="ER11" s="50">
        <f t="shared" si="7"/>
        <v>0</v>
      </c>
      <c r="ES11" s="50">
        <f t="shared" si="7"/>
        <v>0</v>
      </c>
      <c r="ET11" s="50">
        <f t="shared" si="7"/>
        <v>0</v>
      </c>
      <c r="EU11" s="50">
        <f t="shared" si="7"/>
        <v>0</v>
      </c>
      <c r="EV11" s="50">
        <f t="shared" si="7"/>
        <v>0</v>
      </c>
      <c r="EW11" s="50">
        <f t="shared" si="7"/>
        <v>0</v>
      </c>
      <c r="EX11" s="50">
        <f t="shared" si="7"/>
        <v>95</v>
      </c>
      <c r="EY11" s="50">
        <f t="shared" si="7"/>
        <v>0</v>
      </c>
      <c r="EZ11" s="50">
        <f t="shared" si="7"/>
        <v>0</v>
      </c>
      <c r="FA11" s="50">
        <f t="shared" si="7"/>
        <v>2203.5800000000004</v>
      </c>
      <c r="FB11" s="50">
        <f t="shared" si="7"/>
        <v>634.66999999999996</v>
      </c>
      <c r="FC11" s="50">
        <f t="shared" si="7"/>
        <v>0</v>
      </c>
      <c r="FD11" s="50">
        <f t="shared" si="7"/>
        <v>0</v>
      </c>
      <c r="FE11" s="50">
        <f t="shared" si="7"/>
        <v>0</v>
      </c>
      <c r="FF11" s="50">
        <f t="shared" si="7"/>
        <v>0</v>
      </c>
      <c r="FG11" s="50">
        <f t="shared" si="7"/>
        <v>0</v>
      </c>
      <c r="FH11" s="50">
        <f t="shared" si="7"/>
        <v>0</v>
      </c>
      <c r="FI11" s="50">
        <f t="shared" si="7"/>
        <v>0</v>
      </c>
      <c r="FJ11" s="50">
        <f t="shared" si="7"/>
        <v>0</v>
      </c>
      <c r="FK11" s="50">
        <f t="shared" ref="FK11:GP11" si="8">SUM(FK44:FK1028)</f>
        <v>0</v>
      </c>
      <c r="FL11" s="50">
        <f t="shared" si="8"/>
        <v>0</v>
      </c>
      <c r="FM11" s="50">
        <f t="shared" si="8"/>
        <v>0</v>
      </c>
      <c r="FN11" s="50">
        <f t="shared" si="8"/>
        <v>0</v>
      </c>
      <c r="FO11" s="50">
        <f t="shared" si="8"/>
        <v>2624</v>
      </c>
      <c r="FP11" s="50">
        <f t="shared" si="8"/>
        <v>1362</v>
      </c>
      <c r="FQ11" s="50">
        <f t="shared" si="8"/>
        <v>1066.46</v>
      </c>
      <c r="FR11" s="50">
        <f t="shared" si="8"/>
        <v>1169.6600000000001</v>
      </c>
      <c r="FS11" s="50">
        <f t="shared" si="8"/>
        <v>1980.27</v>
      </c>
      <c r="FT11" s="50">
        <f t="shared" si="8"/>
        <v>2049.7999999999997</v>
      </c>
      <c r="FU11" s="50">
        <f t="shared" si="8"/>
        <v>3527.2999999999993</v>
      </c>
      <c r="FV11" s="51">
        <f t="shared" si="8"/>
        <v>4046.9199999999992</v>
      </c>
      <c r="FW11" s="51">
        <f t="shared" si="8"/>
        <v>3284.5899999999992</v>
      </c>
      <c r="FX11" s="51">
        <f t="shared" si="8"/>
        <v>3612.8899999999994</v>
      </c>
      <c r="FY11" s="50">
        <f t="shared" si="8"/>
        <v>1857.4699999999996</v>
      </c>
      <c r="FZ11" s="50">
        <f t="shared" si="8"/>
        <v>2661.05</v>
      </c>
      <c r="GA11" s="50">
        <f t="shared" si="8"/>
        <v>1326.9499999999998</v>
      </c>
      <c r="GB11" s="50">
        <f t="shared" si="8"/>
        <v>2648.9700000000003</v>
      </c>
      <c r="GC11" s="50">
        <f t="shared" si="8"/>
        <v>4185.17</v>
      </c>
      <c r="GD11" s="50">
        <f t="shared" si="8"/>
        <v>3068.8200000000006</v>
      </c>
      <c r="GE11" s="50">
        <f t="shared" si="8"/>
        <v>2397.61</v>
      </c>
      <c r="GF11" s="50">
        <f t="shared" si="8"/>
        <v>3197.9199999999996</v>
      </c>
      <c r="GG11" s="50">
        <f t="shared" si="8"/>
        <v>2694.6400000000003</v>
      </c>
      <c r="GH11" s="50">
        <f t="shared" si="8"/>
        <v>2868.71</v>
      </c>
      <c r="GI11" s="50">
        <f t="shared" si="8"/>
        <v>2140.7629999999999</v>
      </c>
      <c r="GJ11" s="50">
        <f t="shared" si="8"/>
        <v>2288.0099999999998</v>
      </c>
      <c r="GK11" s="50">
        <f t="shared" si="8"/>
        <v>1169.79</v>
      </c>
      <c r="GL11" s="50">
        <f t="shared" si="8"/>
        <v>583</v>
      </c>
      <c r="GM11" s="50">
        <f t="shared" si="8"/>
        <v>281</v>
      </c>
      <c r="GN11" s="50">
        <f t="shared" si="8"/>
        <v>144</v>
      </c>
      <c r="GO11" s="50">
        <f t="shared" si="8"/>
        <v>0</v>
      </c>
      <c r="GP11" s="50">
        <f t="shared" si="8"/>
        <v>506.464</v>
      </c>
      <c r="GQ11" s="50">
        <f t="shared" ref="GQ11:HJ11" si="9">SUM(GQ44:GQ1028)</f>
        <v>130</v>
      </c>
      <c r="GR11" s="50">
        <f t="shared" si="9"/>
        <v>110.77</v>
      </c>
      <c r="GS11" s="50">
        <f t="shared" si="9"/>
        <v>965</v>
      </c>
      <c r="GT11" s="50">
        <f t="shared" si="9"/>
        <v>0</v>
      </c>
      <c r="GU11" s="50">
        <f t="shared" si="9"/>
        <v>608</v>
      </c>
      <c r="GV11" s="50">
        <f t="shared" si="9"/>
        <v>901</v>
      </c>
      <c r="GW11" s="50">
        <f t="shared" si="9"/>
        <v>20</v>
      </c>
      <c r="GX11" s="50">
        <f t="shared" si="9"/>
        <v>418</v>
      </c>
      <c r="GY11" s="50">
        <f t="shared" si="9"/>
        <v>1535.4639999999999</v>
      </c>
      <c r="GZ11" s="50">
        <f t="shared" si="9"/>
        <v>216.6</v>
      </c>
      <c r="HA11" s="50">
        <f t="shared" si="9"/>
        <v>548</v>
      </c>
      <c r="HB11" s="50">
        <f t="shared" si="9"/>
        <v>634.01799999999992</v>
      </c>
      <c r="HC11" s="50">
        <f t="shared" si="9"/>
        <v>442.36300000000006</v>
      </c>
      <c r="HD11" s="50">
        <f t="shared" si="9"/>
        <v>359.04849999999999</v>
      </c>
      <c r="HE11" s="50">
        <f t="shared" si="9"/>
        <v>1498.0330000000004</v>
      </c>
      <c r="HF11" s="50">
        <f t="shared" si="9"/>
        <v>1488.2708</v>
      </c>
      <c r="HG11" s="50">
        <f t="shared" si="9"/>
        <v>10</v>
      </c>
      <c r="HH11" s="50">
        <f t="shared" si="9"/>
        <v>1616.1380000000001</v>
      </c>
      <c r="HI11" s="50">
        <f t="shared" si="9"/>
        <v>2181.3669999999997</v>
      </c>
      <c r="HJ11" s="50">
        <f t="shared" si="9"/>
        <v>209.6</v>
      </c>
      <c r="HK11" s="50">
        <f>SUM(HK44:HK479)</f>
        <v>0</v>
      </c>
      <c r="HL11" s="29"/>
    </row>
    <row r="12" spans="1:220" ht="14.25" customHeight="1" x14ac:dyDescent="0.2">
      <c r="A12" s="164" t="s">
        <v>954</v>
      </c>
      <c r="B12" s="164"/>
      <c r="C12" s="164"/>
      <c r="D12" s="164"/>
      <c r="E12" s="22">
        <v>192</v>
      </c>
      <c r="F12" s="23"/>
      <c r="G12" s="22">
        <v>37</v>
      </c>
      <c r="H12" s="22">
        <v>34</v>
      </c>
      <c r="I12" s="23"/>
      <c r="J12" s="23"/>
      <c r="K12" s="23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5"/>
      <c r="BM12" s="25"/>
      <c r="BN12" s="25"/>
      <c r="BO12" s="26"/>
      <c r="BP12" s="25"/>
      <c r="BQ12" s="25"/>
      <c r="BR12" s="26"/>
      <c r="BS12" s="25"/>
      <c r="BT12" s="26"/>
      <c r="BU12" s="25"/>
      <c r="BV12" s="25"/>
      <c r="BW12" s="25"/>
      <c r="BX12" s="25"/>
      <c r="BY12" s="25"/>
      <c r="BZ12" s="26"/>
      <c r="CA12" s="25"/>
      <c r="CB12" s="26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7"/>
      <c r="FW12" s="27"/>
      <c r="FX12" s="28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</row>
    <row r="13" spans="1:220" ht="14.25" customHeight="1" x14ac:dyDescent="0.2">
      <c r="A13" s="164"/>
      <c r="B13" s="164"/>
      <c r="C13" s="164"/>
      <c r="D13" s="164"/>
      <c r="E13" s="22">
        <v>236</v>
      </c>
      <c r="F13" s="23"/>
      <c r="G13" s="22">
        <v>25</v>
      </c>
      <c r="H13" s="22">
        <v>23</v>
      </c>
      <c r="I13" s="23"/>
      <c r="J13" s="23"/>
      <c r="K13" s="23">
        <v>45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5"/>
      <c r="BM13" s="25"/>
      <c r="BN13" s="25"/>
      <c r="BO13" s="26"/>
      <c r="BP13" s="25"/>
      <c r="BQ13" s="25"/>
      <c r="BR13" s="26"/>
      <c r="BS13" s="25"/>
      <c r="BT13" s="26"/>
      <c r="BU13" s="25"/>
      <c r="BV13" s="25"/>
      <c r="BW13" s="25"/>
      <c r="BX13" s="25"/>
      <c r="BY13" s="25"/>
      <c r="BZ13" s="26"/>
      <c r="CA13" s="25"/>
      <c r="CB13" s="26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7"/>
      <c r="FW13" s="27"/>
      <c r="FX13" s="28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</row>
    <row r="14" spans="1:220" ht="14.25" customHeight="1" x14ac:dyDescent="0.2">
      <c r="A14" s="164"/>
      <c r="B14" s="164"/>
      <c r="C14" s="164"/>
      <c r="D14" s="164"/>
      <c r="E14" s="22">
        <v>314</v>
      </c>
      <c r="F14" s="23"/>
      <c r="G14" s="22">
        <v>34</v>
      </c>
      <c r="H14" s="22">
        <v>50</v>
      </c>
      <c r="I14" s="23"/>
      <c r="J14" s="23"/>
      <c r="K14" s="23">
        <v>50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5"/>
      <c r="BM14" s="25"/>
      <c r="BN14" s="25"/>
      <c r="BO14" s="26"/>
      <c r="BP14" s="25"/>
      <c r="BQ14" s="25"/>
      <c r="BR14" s="26"/>
      <c r="BS14" s="25"/>
      <c r="BT14" s="26"/>
      <c r="BU14" s="25"/>
      <c r="BV14" s="25"/>
      <c r="BW14" s="25"/>
      <c r="BX14" s="25"/>
      <c r="BY14" s="25"/>
      <c r="BZ14" s="26"/>
      <c r="CA14" s="25"/>
      <c r="CB14" s="26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7"/>
      <c r="FW14" s="27"/>
      <c r="FX14" s="28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</row>
    <row r="15" spans="1:220" ht="14.25" customHeight="1" x14ac:dyDescent="0.2">
      <c r="A15" s="164"/>
      <c r="B15" s="164"/>
      <c r="C15" s="164"/>
      <c r="D15" s="164"/>
      <c r="E15" s="22">
        <v>210</v>
      </c>
      <c r="F15" s="23"/>
      <c r="G15" s="22">
        <v>50</v>
      </c>
      <c r="H15" s="22"/>
      <c r="I15" s="23"/>
      <c r="J15" s="23">
        <v>30</v>
      </c>
      <c r="K15" s="23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5"/>
      <c r="BM15" s="25"/>
      <c r="BN15" s="25"/>
      <c r="BO15" s="26"/>
      <c r="BP15" s="25"/>
      <c r="BQ15" s="25"/>
      <c r="BR15" s="26"/>
      <c r="BS15" s="25"/>
      <c r="BT15" s="26"/>
      <c r="BU15" s="25"/>
      <c r="BV15" s="25"/>
      <c r="BW15" s="25"/>
      <c r="BX15" s="25"/>
      <c r="BY15" s="25"/>
      <c r="BZ15" s="26"/>
      <c r="CA15" s="25"/>
      <c r="CB15" s="26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7"/>
      <c r="FW15" s="27"/>
      <c r="FX15" s="28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</row>
    <row r="16" spans="1:220" ht="14.25" customHeight="1" x14ac:dyDescent="0.2">
      <c r="A16" s="164"/>
      <c r="B16" s="164"/>
      <c r="C16" s="164"/>
      <c r="D16" s="164"/>
      <c r="E16" s="22">
        <v>170</v>
      </c>
      <c r="F16" s="23"/>
      <c r="G16" s="22">
        <v>35</v>
      </c>
      <c r="H16" s="22">
        <v>58</v>
      </c>
      <c r="I16" s="23"/>
      <c r="J16" s="23"/>
      <c r="K16" s="23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5"/>
      <c r="BM16" s="25"/>
      <c r="BN16" s="25"/>
      <c r="BO16" s="26"/>
      <c r="BP16" s="25"/>
      <c r="BQ16" s="25"/>
      <c r="BR16" s="26"/>
      <c r="BS16" s="25"/>
      <c r="BT16" s="26"/>
      <c r="BU16" s="25"/>
      <c r="BV16" s="25"/>
      <c r="BW16" s="25"/>
      <c r="BX16" s="25"/>
      <c r="BY16" s="25"/>
      <c r="BZ16" s="26"/>
      <c r="CA16" s="25"/>
      <c r="CB16" s="26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7"/>
      <c r="FW16" s="27"/>
      <c r="FX16" s="28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</row>
    <row r="17" spans="1:220" ht="14.25" customHeight="1" x14ac:dyDescent="0.2">
      <c r="A17" s="164"/>
      <c r="B17" s="164"/>
      <c r="C17" s="164"/>
      <c r="D17" s="164"/>
      <c r="E17" s="22">
        <v>173</v>
      </c>
      <c r="F17" s="23"/>
      <c r="G17" s="22">
        <v>34</v>
      </c>
      <c r="H17" s="22">
        <v>56</v>
      </c>
      <c r="I17" s="23"/>
      <c r="J17" s="23"/>
      <c r="K17" s="23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5"/>
      <c r="BM17" s="25"/>
      <c r="BN17" s="25"/>
      <c r="BO17" s="26"/>
      <c r="BP17" s="25"/>
      <c r="BQ17" s="25"/>
      <c r="BR17" s="26"/>
      <c r="BS17" s="25"/>
      <c r="BT17" s="26"/>
      <c r="BU17" s="25"/>
      <c r="BV17" s="25"/>
      <c r="BW17" s="25"/>
      <c r="BX17" s="25"/>
      <c r="BY17" s="25"/>
      <c r="BZ17" s="26"/>
      <c r="CA17" s="25"/>
      <c r="CB17" s="26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7"/>
      <c r="FW17" s="27"/>
      <c r="FX17" s="28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</row>
    <row r="18" spans="1:220" ht="14.25" customHeight="1" x14ac:dyDescent="0.2">
      <c r="A18" s="164"/>
      <c r="B18" s="164"/>
      <c r="C18" s="164"/>
      <c r="D18" s="164"/>
      <c r="E18" s="22">
        <v>225</v>
      </c>
      <c r="F18" s="23"/>
      <c r="G18" s="22">
        <v>36</v>
      </c>
      <c r="H18" s="22"/>
      <c r="I18" s="23"/>
      <c r="J18" s="23">
        <v>31</v>
      </c>
      <c r="K18" s="23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5"/>
      <c r="BM18" s="25"/>
      <c r="BN18" s="25"/>
      <c r="BO18" s="26"/>
      <c r="BP18" s="25"/>
      <c r="BQ18" s="25"/>
      <c r="BR18" s="26"/>
      <c r="BS18" s="25"/>
      <c r="BT18" s="26"/>
      <c r="BU18" s="25"/>
      <c r="BV18" s="25"/>
      <c r="BW18" s="25"/>
      <c r="BX18" s="25"/>
      <c r="BY18" s="25"/>
      <c r="BZ18" s="26"/>
      <c r="CA18" s="25"/>
      <c r="CB18" s="26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7"/>
      <c r="FW18" s="27"/>
      <c r="FX18" s="28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</row>
    <row r="19" spans="1:220" ht="14.25" customHeight="1" x14ac:dyDescent="0.2">
      <c r="A19" s="164"/>
      <c r="B19" s="164"/>
      <c r="C19" s="164"/>
      <c r="D19" s="164"/>
      <c r="E19" s="22">
        <v>210</v>
      </c>
      <c r="F19" s="23"/>
      <c r="G19" s="22">
        <v>35</v>
      </c>
      <c r="H19" s="22">
        <v>54</v>
      </c>
      <c r="I19" s="23"/>
      <c r="J19" s="23"/>
      <c r="K19" s="23">
        <v>37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5"/>
      <c r="BM19" s="25"/>
      <c r="BN19" s="25"/>
      <c r="BO19" s="26"/>
      <c r="BP19" s="25"/>
      <c r="BQ19" s="25"/>
      <c r="BR19" s="26"/>
      <c r="BS19" s="25"/>
      <c r="BT19" s="26"/>
      <c r="BU19" s="25"/>
      <c r="BV19" s="25"/>
      <c r="BW19" s="25"/>
      <c r="BX19" s="25"/>
      <c r="BY19" s="25"/>
      <c r="BZ19" s="26"/>
      <c r="CA19" s="25"/>
      <c r="CB19" s="26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7"/>
      <c r="FW19" s="27"/>
      <c r="FX19" s="28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</row>
    <row r="20" spans="1:220" ht="14.25" customHeight="1" x14ac:dyDescent="0.2">
      <c r="A20" s="164"/>
      <c r="B20" s="164"/>
      <c r="C20" s="164"/>
      <c r="D20" s="164"/>
      <c r="E20" s="22">
        <v>202</v>
      </c>
      <c r="F20" s="23"/>
      <c r="G20" s="22">
        <v>58</v>
      </c>
      <c r="H20" s="22"/>
      <c r="I20" s="23"/>
      <c r="J20" s="23">
        <v>34</v>
      </c>
      <c r="K20" s="23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5"/>
      <c r="BM20" s="25"/>
      <c r="BN20" s="25"/>
      <c r="BO20" s="26"/>
      <c r="BP20" s="25"/>
      <c r="BQ20" s="25"/>
      <c r="BR20" s="26"/>
      <c r="BS20" s="25"/>
      <c r="BT20" s="26"/>
      <c r="BU20" s="25"/>
      <c r="BV20" s="25"/>
      <c r="BW20" s="25"/>
      <c r="BX20" s="25"/>
      <c r="BY20" s="25"/>
      <c r="BZ20" s="26"/>
      <c r="CA20" s="25"/>
      <c r="CB20" s="26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7"/>
      <c r="FW20" s="27"/>
      <c r="FX20" s="28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</row>
    <row r="21" spans="1:220" ht="14.25" customHeight="1" x14ac:dyDescent="0.2">
      <c r="A21" s="164"/>
      <c r="B21" s="164"/>
      <c r="C21" s="164"/>
      <c r="D21" s="164"/>
      <c r="E21" s="22">
        <v>169</v>
      </c>
      <c r="F21" s="23"/>
      <c r="G21" s="22">
        <v>50</v>
      </c>
      <c r="H21" s="22">
        <v>38</v>
      </c>
      <c r="I21" s="23"/>
      <c r="J21" s="23"/>
      <c r="K21" s="23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5"/>
      <c r="BM21" s="25"/>
      <c r="BN21" s="25"/>
      <c r="BO21" s="26"/>
      <c r="BP21" s="25"/>
      <c r="BQ21" s="25"/>
      <c r="BR21" s="26"/>
      <c r="BS21" s="25"/>
      <c r="BT21" s="26"/>
      <c r="BU21" s="25"/>
      <c r="BV21" s="25"/>
      <c r="BW21" s="25"/>
      <c r="BX21" s="25"/>
      <c r="BY21" s="25"/>
      <c r="BZ21" s="26"/>
      <c r="CA21" s="25"/>
      <c r="CB21" s="26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7"/>
      <c r="FW21" s="27"/>
      <c r="FX21" s="28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</row>
    <row r="22" spans="1:220" ht="14.25" customHeight="1" x14ac:dyDescent="0.2">
      <c r="A22" s="164"/>
      <c r="B22" s="164"/>
      <c r="C22" s="164"/>
      <c r="D22" s="164"/>
      <c r="E22" s="22">
        <v>170</v>
      </c>
      <c r="F22" s="23"/>
      <c r="G22" s="22">
        <v>35</v>
      </c>
      <c r="H22" s="22">
        <v>52</v>
      </c>
      <c r="I22" s="23"/>
      <c r="J22" s="23"/>
      <c r="K22" s="23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5"/>
      <c r="BM22" s="25"/>
      <c r="BN22" s="25"/>
      <c r="BO22" s="26"/>
      <c r="BP22" s="25"/>
      <c r="BQ22" s="25"/>
      <c r="BR22" s="26"/>
      <c r="BS22" s="25"/>
      <c r="BT22" s="26"/>
      <c r="BU22" s="25"/>
      <c r="BV22" s="25"/>
      <c r="BW22" s="25"/>
      <c r="BX22" s="25"/>
      <c r="BY22" s="25"/>
      <c r="BZ22" s="26"/>
      <c r="CA22" s="25"/>
      <c r="CB22" s="26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7"/>
      <c r="FW22" s="27"/>
      <c r="FX22" s="28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</row>
    <row r="23" spans="1:220" ht="14.25" customHeight="1" x14ac:dyDescent="0.2">
      <c r="A23" s="164"/>
      <c r="B23" s="164"/>
      <c r="C23" s="164"/>
      <c r="D23" s="164"/>
      <c r="E23" s="22">
        <v>183</v>
      </c>
      <c r="F23" s="23"/>
      <c r="G23" s="22"/>
      <c r="H23" s="22">
        <v>53</v>
      </c>
      <c r="I23" s="23"/>
      <c r="J23" s="23"/>
      <c r="K23" s="23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5"/>
      <c r="BM23" s="25"/>
      <c r="BN23" s="25"/>
      <c r="BO23" s="26"/>
      <c r="BP23" s="25"/>
      <c r="BQ23" s="25"/>
      <c r="BR23" s="26"/>
      <c r="BS23" s="25"/>
      <c r="BT23" s="26"/>
      <c r="BU23" s="25"/>
      <c r="BV23" s="25"/>
      <c r="BW23" s="25"/>
      <c r="BX23" s="25"/>
      <c r="BY23" s="25"/>
      <c r="BZ23" s="26"/>
      <c r="CA23" s="25"/>
      <c r="CB23" s="26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7"/>
      <c r="FW23" s="27"/>
      <c r="FX23" s="28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</row>
    <row r="24" spans="1:220" ht="14.25" customHeight="1" x14ac:dyDescent="0.2">
      <c r="A24" s="164"/>
      <c r="B24" s="164"/>
      <c r="C24" s="164"/>
      <c r="D24" s="164"/>
      <c r="E24" s="22">
        <v>256</v>
      </c>
      <c r="F24" s="23"/>
      <c r="G24" s="22"/>
      <c r="H24" s="22">
        <v>35</v>
      </c>
      <c r="I24" s="23"/>
      <c r="J24" s="23">
        <v>33</v>
      </c>
      <c r="K24" s="23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5"/>
      <c r="BM24" s="25"/>
      <c r="BN24" s="25"/>
      <c r="BO24" s="26"/>
      <c r="BP24" s="25"/>
      <c r="BQ24" s="25"/>
      <c r="BR24" s="26"/>
      <c r="BS24" s="25"/>
      <c r="BT24" s="26"/>
      <c r="BU24" s="25"/>
      <c r="BV24" s="25"/>
      <c r="BW24" s="25"/>
      <c r="BX24" s="25"/>
      <c r="BY24" s="25"/>
      <c r="BZ24" s="26"/>
      <c r="CA24" s="25"/>
      <c r="CB24" s="26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7"/>
      <c r="FW24" s="27"/>
      <c r="FX24" s="28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</row>
    <row r="25" spans="1:220" ht="14.25" customHeight="1" x14ac:dyDescent="0.2">
      <c r="A25" s="164"/>
      <c r="B25" s="164"/>
      <c r="C25" s="164"/>
      <c r="D25" s="164"/>
      <c r="E25" s="22">
        <v>158</v>
      </c>
      <c r="F25" s="23"/>
      <c r="G25" s="22"/>
      <c r="H25" s="22">
        <v>51</v>
      </c>
      <c r="I25" s="23"/>
      <c r="J25" s="23"/>
      <c r="K25" s="23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5"/>
      <c r="BM25" s="25"/>
      <c r="BN25" s="25"/>
      <c r="BO25" s="26"/>
      <c r="BP25" s="25"/>
      <c r="BQ25" s="25"/>
      <c r="BR25" s="26"/>
      <c r="BS25" s="25"/>
      <c r="BT25" s="26"/>
      <c r="BU25" s="25"/>
      <c r="BV25" s="25"/>
      <c r="BW25" s="25"/>
      <c r="BX25" s="25"/>
      <c r="BY25" s="25"/>
      <c r="BZ25" s="26"/>
      <c r="CA25" s="25"/>
      <c r="CB25" s="26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7"/>
      <c r="FW25" s="27"/>
      <c r="FX25" s="28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</row>
    <row r="26" spans="1:220" ht="14.25" customHeight="1" x14ac:dyDescent="0.2">
      <c r="A26" s="164"/>
      <c r="B26" s="164"/>
      <c r="C26" s="164"/>
      <c r="D26" s="164"/>
      <c r="E26" s="22">
        <v>185</v>
      </c>
      <c r="F26" s="23"/>
      <c r="G26" s="22">
        <v>51</v>
      </c>
      <c r="H26" s="22"/>
      <c r="I26" s="23"/>
      <c r="J26" s="23">
        <v>45</v>
      </c>
      <c r="K26" s="23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5"/>
      <c r="BM26" s="25"/>
      <c r="BN26" s="25"/>
      <c r="BO26" s="26"/>
      <c r="BP26" s="25"/>
      <c r="BQ26" s="25"/>
      <c r="BR26" s="26"/>
      <c r="BS26" s="25"/>
      <c r="BT26" s="26"/>
      <c r="BU26" s="25"/>
      <c r="BV26" s="25"/>
      <c r="BW26" s="25"/>
      <c r="BX26" s="25"/>
      <c r="BY26" s="25"/>
      <c r="BZ26" s="26"/>
      <c r="CA26" s="25"/>
      <c r="CB26" s="26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7"/>
      <c r="FW26" s="27"/>
      <c r="FX26" s="28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</row>
    <row r="27" spans="1:220" ht="14.25" customHeight="1" x14ac:dyDescent="0.2">
      <c r="A27" s="24" t="s">
        <v>937</v>
      </c>
      <c r="B27" s="24">
        <v>617298</v>
      </c>
      <c r="C27" s="24">
        <v>361.42</v>
      </c>
      <c r="D27" s="79" t="s">
        <v>938</v>
      </c>
      <c r="E27" s="91">
        <f>C27-SUM(I27:AJ27)</f>
        <v>0</v>
      </c>
      <c r="F27" s="23"/>
      <c r="G27" s="23"/>
      <c r="H27" s="23"/>
      <c r="I27" s="23"/>
      <c r="J27" s="23"/>
      <c r="K27" s="23"/>
      <c r="L27" s="23"/>
      <c r="M27" s="23">
        <v>57.42</v>
      </c>
      <c r="N27" s="23"/>
      <c r="O27" s="23">
        <v>77</v>
      </c>
      <c r="P27" s="23"/>
      <c r="Q27" s="23">
        <v>34</v>
      </c>
      <c r="R27" s="23">
        <v>73</v>
      </c>
      <c r="S27" s="23">
        <v>120</v>
      </c>
      <c r="T27" s="23"/>
      <c r="U27" s="23"/>
      <c r="V27" s="23"/>
      <c r="W27" s="23"/>
      <c r="X27" s="23"/>
      <c r="Y27" s="23"/>
      <c r="Z27" s="23"/>
      <c r="AA27" s="23"/>
      <c r="AB27" s="23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5"/>
      <c r="BM27" s="25"/>
      <c r="BN27" s="25"/>
      <c r="BO27" s="26"/>
      <c r="BP27" s="25"/>
      <c r="BQ27" s="25"/>
      <c r="BR27" s="26"/>
      <c r="BS27" s="25"/>
      <c r="BT27" s="26"/>
      <c r="BU27" s="25"/>
      <c r="BV27" s="25"/>
      <c r="BW27" s="25"/>
      <c r="BX27" s="25"/>
      <c r="BY27" s="25"/>
      <c r="BZ27" s="26"/>
      <c r="CA27" s="25"/>
      <c r="CB27" s="26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7"/>
      <c r="FW27" s="27"/>
      <c r="FX27" s="28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</row>
    <row r="28" spans="1:220" ht="14.25" customHeight="1" x14ac:dyDescent="0.2">
      <c r="A28" s="24" t="s">
        <v>937</v>
      </c>
      <c r="B28" s="24">
        <v>617298</v>
      </c>
      <c r="C28" s="24">
        <v>408.15</v>
      </c>
      <c r="D28" s="79" t="s">
        <v>939</v>
      </c>
      <c r="E28" s="91">
        <f t="shared" ref="E28:E43" si="10">C28-SUM(I28:AJ28)</f>
        <v>0.14999999999997726</v>
      </c>
      <c r="F28" s="23"/>
      <c r="G28" s="23"/>
      <c r="H28" s="23"/>
      <c r="I28" s="23"/>
      <c r="J28" s="23"/>
      <c r="K28" s="23"/>
      <c r="L28" s="23"/>
      <c r="M28" s="23">
        <v>56</v>
      </c>
      <c r="N28" s="23">
        <v>32</v>
      </c>
      <c r="O28" s="23">
        <v>41</v>
      </c>
      <c r="P28" s="23"/>
      <c r="Q28" s="23">
        <v>41</v>
      </c>
      <c r="R28" s="23">
        <v>125</v>
      </c>
      <c r="S28" s="23">
        <v>77</v>
      </c>
      <c r="T28" s="23"/>
      <c r="U28" s="23"/>
      <c r="V28" s="23"/>
      <c r="W28" s="23"/>
      <c r="X28" s="23"/>
      <c r="Y28" s="23"/>
      <c r="Z28" s="23">
        <v>36</v>
      </c>
      <c r="AA28" s="23"/>
      <c r="AB28" s="23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5"/>
      <c r="BM28" s="25"/>
      <c r="BN28" s="25"/>
      <c r="BO28" s="26"/>
      <c r="BP28" s="25"/>
      <c r="BQ28" s="25"/>
      <c r="BR28" s="26"/>
      <c r="BS28" s="25"/>
      <c r="BT28" s="26"/>
      <c r="BU28" s="25"/>
      <c r="BV28" s="25"/>
      <c r="BW28" s="25"/>
      <c r="BX28" s="25"/>
      <c r="BY28" s="25"/>
      <c r="BZ28" s="26"/>
      <c r="CA28" s="25"/>
      <c r="CB28" s="26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7"/>
      <c r="FW28" s="27"/>
      <c r="FX28" s="28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</row>
    <row r="29" spans="1:220" ht="14.25" customHeight="1" x14ac:dyDescent="0.2">
      <c r="A29" s="24" t="s">
        <v>937</v>
      </c>
      <c r="B29" s="24">
        <v>617298</v>
      </c>
      <c r="C29" s="24">
        <v>110.07</v>
      </c>
      <c r="D29" s="79" t="s">
        <v>940</v>
      </c>
      <c r="E29" s="91">
        <f t="shared" si="10"/>
        <v>9.9999999999909051E-3</v>
      </c>
      <c r="F29" s="23"/>
      <c r="G29" s="23"/>
      <c r="H29" s="23"/>
      <c r="I29" s="23"/>
      <c r="J29" s="23"/>
      <c r="K29" s="23"/>
      <c r="L29" s="23"/>
      <c r="M29" s="23"/>
      <c r="N29" s="23"/>
      <c r="O29" s="23">
        <v>10.06</v>
      </c>
      <c r="P29" s="23"/>
      <c r="Q29" s="23"/>
      <c r="R29" s="23">
        <v>59</v>
      </c>
      <c r="S29" s="23">
        <v>41</v>
      </c>
      <c r="T29" s="23"/>
      <c r="U29" s="23"/>
      <c r="V29" s="23"/>
      <c r="W29" s="23"/>
      <c r="X29" s="23"/>
      <c r="Y29" s="23"/>
      <c r="Z29" s="23"/>
      <c r="AA29" s="23"/>
      <c r="AB29" s="23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5"/>
      <c r="BM29" s="25"/>
      <c r="BN29" s="25"/>
      <c r="BO29" s="26"/>
      <c r="BP29" s="25"/>
      <c r="BQ29" s="25"/>
      <c r="BR29" s="26"/>
      <c r="BS29" s="25"/>
      <c r="BT29" s="26"/>
      <c r="BU29" s="25"/>
      <c r="BV29" s="25"/>
      <c r="BW29" s="25"/>
      <c r="BX29" s="25"/>
      <c r="BY29" s="25"/>
      <c r="BZ29" s="26"/>
      <c r="CA29" s="25"/>
      <c r="CB29" s="26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7"/>
      <c r="FW29" s="27"/>
      <c r="FX29" s="28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</row>
    <row r="30" spans="1:220" ht="14.25" customHeight="1" x14ac:dyDescent="0.2">
      <c r="A30" s="24" t="s">
        <v>937</v>
      </c>
      <c r="B30" s="24">
        <v>617298</v>
      </c>
      <c r="C30" s="24">
        <v>360.11</v>
      </c>
      <c r="D30" s="79" t="s">
        <v>941</v>
      </c>
      <c r="E30" s="91">
        <f t="shared" si="10"/>
        <v>0</v>
      </c>
      <c r="F30" s="23"/>
      <c r="G30" s="23"/>
      <c r="H30" s="23"/>
      <c r="I30" s="23"/>
      <c r="J30" s="23"/>
      <c r="K30" s="23"/>
      <c r="L30" s="23"/>
      <c r="M30" s="23">
        <v>76.11</v>
      </c>
      <c r="N30" s="23">
        <v>33</v>
      </c>
      <c r="O30" s="23">
        <v>30</v>
      </c>
      <c r="P30" s="23"/>
      <c r="Q30" s="23">
        <v>34</v>
      </c>
      <c r="R30" s="23">
        <v>114</v>
      </c>
      <c r="S30" s="23">
        <v>73</v>
      </c>
      <c r="T30" s="23"/>
      <c r="U30" s="23"/>
      <c r="V30" s="23"/>
      <c r="W30" s="23"/>
      <c r="X30" s="23"/>
      <c r="Y30" s="23"/>
      <c r="Z30" s="23"/>
      <c r="AA30" s="23"/>
      <c r="AB30" s="23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5"/>
      <c r="BM30" s="25"/>
      <c r="BN30" s="25"/>
      <c r="BO30" s="26"/>
      <c r="BP30" s="25"/>
      <c r="BQ30" s="25"/>
      <c r="BR30" s="26"/>
      <c r="BS30" s="25"/>
      <c r="BT30" s="26"/>
      <c r="BU30" s="25"/>
      <c r="BV30" s="25"/>
      <c r="BW30" s="25"/>
      <c r="BX30" s="25"/>
      <c r="BY30" s="25"/>
      <c r="BZ30" s="26"/>
      <c r="CA30" s="25"/>
      <c r="CB30" s="26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7"/>
      <c r="FW30" s="27"/>
      <c r="FX30" s="28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</row>
    <row r="31" spans="1:220" ht="14.25" customHeight="1" x14ac:dyDescent="0.2">
      <c r="A31" s="24" t="s">
        <v>937</v>
      </c>
      <c r="B31" s="24">
        <v>617298</v>
      </c>
      <c r="C31" s="24">
        <v>335.69</v>
      </c>
      <c r="D31" s="79" t="s">
        <v>942</v>
      </c>
      <c r="E31" s="91">
        <f t="shared" si="10"/>
        <v>9.6899999999999977</v>
      </c>
      <c r="F31" s="23"/>
      <c r="G31" s="23"/>
      <c r="H31" s="23"/>
      <c r="I31" s="23"/>
      <c r="J31" s="23"/>
      <c r="K31" s="23"/>
      <c r="L31" s="23"/>
      <c r="M31" s="23"/>
      <c r="N31" s="23">
        <v>50</v>
      </c>
      <c r="O31" s="23">
        <v>38</v>
      </c>
      <c r="P31" s="23">
        <v>39</v>
      </c>
      <c r="Q31" s="23">
        <v>30</v>
      </c>
      <c r="R31" s="23">
        <v>88</v>
      </c>
      <c r="S31" s="23">
        <v>81</v>
      </c>
      <c r="T31" s="23"/>
      <c r="U31" s="23"/>
      <c r="V31" s="23"/>
      <c r="W31" s="23"/>
      <c r="X31" s="23"/>
      <c r="Y31" s="23"/>
      <c r="Z31" s="23"/>
      <c r="AA31" s="23"/>
      <c r="AB31" s="23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5"/>
      <c r="BM31" s="25"/>
      <c r="BN31" s="25"/>
      <c r="BO31" s="26"/>
      <c r="BP31" s="25"/>
      <c r="BQ31" s="25"/>
      <c r="BR31" s="26"/>
      <c r="BS31" s="25"/>
      <c r="BT31" s="26"/>
      <c r="BU31" s="25"/>
      <c r="BV31" s="25"/>
      <c r="BW31" s="25"/>
      <c r="BX31" s="25"/>
      <c r="BY31" s="25"/>
      <c r="BZ31" s="26"/>
      <c r="CA31" s="25"/>
      <c r="CB31" s="26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7"/>
      <c r="FW31" s="27"/>
      <c r="FX31" s="28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</row>
    <row r="32" spans="1:220" ht="14.25" customHeight="1" x14ac:dyDescent="0.2">
      <c r="A32" s="24" t="s">
        <v>937</v>
      </c>
      <c r="B32" s="24">
        <v>617298</v>
      </c>
      <c r="C32" s="24">
        <v>363.8</v>
      </c>
      <c r="D32" s="79" t="s">
        <v>943</v>
      </c>
      <c r="E32" s="91">
        <f t="shared" si="10"/>
        <v>0</v>
      </c>
      <c r="F32" s="23"/>
      <c r="G32" s="23"/>
      <c r="H32" s="23"/>
      <c r="I32" s="23"/>
      <c r="J32" s="23"/>
      <c r="K32" s="23"/>
      <c r="L32" s="23"/>
      <c r="M32" s="23">
        <v>25.8</v>
      </c>
      <c r="N32" s="23">
        <v>51</v>
      </c>
      <c r="O32" s="23">
        <v>54</v>
      </c>
      <c r="P32" s="23"/>
      <c r="Q32" s="23">
        <v>33</v>
      </c>
      <c r="R32" s="23">
        <v>85</v>
      </c>
      <c r="S32" s="23">
        <v>115</v>
      </c>
      <c r="T32" s="23"/>
      <c r="U32" s="23"/>
      <c r="V32" s="23"/>
      <c r="W32" s="23"/>
      <c r="X32" s="23"/>
      <c r="Y32" s="23"/>
      <c r="Z32" s="23"/>
      <c r="AA32" s="23"/>
      <c r="AB32" s="23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5"/>
      <c r="BM32" s="25"/>
      <c r="BN32" s="25"/>
      <c r="BO32" s="26"/>
      <c r="BP32" s="25"/>
      <c r="BQ32" s="25"/>
      <c r="BR32" s="26"/>
      <c r="BS32" s="25"/>
      <c r="BT32" s="26"/>
      <c r="BU32" s="25"/>
      <c r="BV32" s="25"/>
      <c r="BW32" s="25"/>
      <c r="BX32" s="25"/>
      <c r="BY32" s="25"/>
      <c r="BZ32" s="26"/>
      <c r="CA32" s="25"/>
      <c r="CB32" s="26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7"/>
      <c r="FW32" s="27"/>
      <c r="FX32" s="28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</row>
    <row r="33" spans="1:220" ht="14.25" customHeight="1" x14ac:dyDescent="0.2">
      <c r="A33" s="24" t="s">
        <v>944</v>
      </c>
      <c r="B33" s="24">
        <v>617172</v>
      </c>
      <c r="C33" s="24">
        <v>267.72000000000003</v>
      </c>
      <c r="D33" s="79" t="s">
        <v>945</v>
      </c>
      <c r="E33" s="91">
        <f t="shared" si="10"/>
        <v>1.7200000000000273</v>
      </c>
      <c r="F33" s="23"/>
      <c r="G33" s="23"/>
      <c r="H33" s="23"/>
      <c r="I33" s="23"/>
      <c r="J33" s="23"/>
      <c r="K33" s="23"/>
      <c r="L33" s="23"/>
      <c r="M33" s="23"/>
      <c r="N33" s="23"/>
      <c r="O33" s="23">
        <v>56</v>
      </c>
      <c r="P33" s="23">
        <v>30</v>
      </c>
      <c r="Q33" s="23">
        <v>38</v>
      </c>
      <c r="R33" s="23">
        <v>64</v>
      </c>
      <c r="S33" s="23">
        <v>38</v>
      </c>
      <c r="T33" s="23"/>
      <c r="U33" s="23"/>
      <c r="V33" s="23"/>
      <c r="W33" s="23"/>
      <c r="X33" s="23"/>
      <c r="Y33" s="23"/>
      <c r="Z33" s="23">
        <v>40</v>
      </c>
      <c r="AA33" s="23"/>
      <c r="AB33" s="23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5"/>
      <c r="BM33" s="25"/>
      <c r="BN33" s="25"/>
      <c r="BO33" s="26"/>
      <c r="BP33" s="25"/>
      <c r="BQ33" s="25"/>
      <c r="BR33" s="26"/>
      <c r="BS33" s="25"/>
      <c r="BT33" s="26"/>
      <c r="BU33" s="25"/>
      <c r="BV33" s="25"/>
      <c r="BW33" s="25"/>
      <c r="BX33" s="25"/>
      <c r="BY33" s="25"/>
      <c r="BZ33" s="26"/>
      <c r="CA33" s="25"/>
      <c r="CB33" s="26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7"/>
      <c r="FW33" s="27"/>
      <c r="FX33" s="28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</row>
    <row r="34" spans="1:220" ht="14.25" customHeight="1" x14ac:dyDescent="0.2">
      <c r="A34" s="24" t="s">
        <v>944</v>
      </c>
      <c r="B34" s="24">
        <v>617172</v>
      </c>
      <c r="C34" s="24">
        <v>332.06</v>
      </c>
      <c r="D34" s="79" t="s">
        <v>946</v>
      </c>
      <c r="E34" s="91">
        <f t="shared" si="10"/>
        <v>6.0000000000002274E-2</v>
      </c>
      <c r="F34" s="23"/>
      <c r="G34" s="23"/>
      <c r="H34" s="23"/>
      <c r="I34" s="23"/>
      <c r="J34" s="23"/>
      <c r="K34" s="23"/>
      <c r="L34" s="23"/>
      <c r="M34" s="23">
        <v>24</v>
      </c>
      <c r="N34" s="23">
        <v>34</v>
      </c>
      <c r="O34" s="23">
        <v>45</v>
      </c>
      <c r="P34" s="23"/>
      <c r="Q34" s="23"/>
      <c r="R34" s="23">
        <v>105</v>
      </c>
      <c r="S34" s="23">
        <v>87</v>
      </c>
      <c r="T34" s="23"/>
      <c r="U34" s="23"/>
      <c r="V34" s="23"/>
      <c r="W34" s="23"/>
      <c r="X34" s="23"/>
      <c r="Y34" s="23"/>
      <c r="Z34" s="23"/>
      <c r="AA34" s="23">
        <v>37</v>
      </c>
      <c r="AB34" s="23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5"/>
      <c r="BM34" s="25"/>
      <c r="BN34" s="25"/>
      <c r="BO34" s="26"/>
      <c r="BP34" s="25"/>
      <c r="BQ34" s="25"/>
      <c r="BR34" s="26"/>
      <c r="BS34" s="25"/>
      <c r="BT34" s="26"/>
      <c r="BU34" s="25"/>
      <c r="BV34" s="25"/>
      <c r="BW34" s="25"/>
      <c r="BX34" s="25"/>
      <c r="BY34" s="25"/>
      <c r="BZ34" s="26"/>
      <c r="CA34" s="25"/>
      <c r="CB34" s="26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7"/>
      <c r="FW34" s="27"/>
      <c r="FX34" s="28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</row>
    <row r="35" spans="1:220" ht="14.25" customHeight="1" x14ac:dyDescent="0.2">
      <c r="A35" s="24" t="s">
        <v>944</v>
      </c>
      <c r="B35" s="24">
        <v>617172</v>
      </c>
      <c r="C35" s="24">
        <v>335.81</v>
      </c>
      <c r="D35" s="79" t="s">
        <v>947</v>
      </c>
      <c r="E35" s="91">
        <f t="shared" si="10"/>
        <v>9.9999999999909051E-3</v>
      </c>
      <c r="F35" s="23"/>
      <c r="G35" s="23"/>
      <c r="H35" s="23"/>
      <c r="I35" s="23"/>
      <c r="J35" s="23"/>
      <c r="K35" s="23"/>
      <c r="L35" s="23"/>
      <c r="M35" s="23"/>
      <c r="N35" s="23">
        <v>33.799999999999997</v>
      </c>
      <c r="O35" s="23">
        <v>58</v>
      </c>
      <c r="P35" s="23"/>
      <c r="Q35" s="23">
        <v>31</v>
      </c>
      <c r="R35" s="23">
        <v>96</v>
      </c>
      <c r="S35" s="23">
        <v>77</v>
      </c>
      <c r="T35" s="23"/>
      <c r="U35" s="23"/>
      <c r="V35" s="23"/>
      <c r="W35" s="23"/>
      <c r="X35" s="23"/>
      <c r="Y35" s="23"/>
      <c r="Z35" s="23"/>
      <c r="AA35" s="23">
        <v>40</v>
      </c>
      <c r="AB35" s="23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5"/>
      <c r="BM35" s="25"/>
      <c r="BN35" s="25"/>
      <c r="BO35" s="26"/>
      <c r="BP35" s="25"/>
      <c r="BQ35" s="25"/>
      <c r="BR35" s="26"/>
      <c r="BS35" s="25"/>
      <c r="BT35" s="26"/>
      <c r="BU35" s="25"/>
      <c r="BV35" s="25"/>
      <c r="BW35" s="25"/>
      <c r="BX35" s="25"/>
      <c r="BY35" s="25"/>
      <c r="BZ35" s="26"/>
      <c r="CA35" s="25"/>
      <c r="CB35" s="26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7"/>
      <c r="FW35" s="27"/>
      <c r="FX35" s="28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</row>
    <row r="36" spans="1:220" ht="14.25" customHeight="1" x14ac:dyDescent="0.2">
      <c r="A36" s="24" t="s">
        <v>944</v>
      </c>
      <c r="B36" s="24">
        <v>617172</v>
      </c>
      <c r="C36" s="24">
        <v>306.26</v>
      </c>
      <c r="D36" s="79" t="s">
        <v>948</v>
      </c>
      <c r="E36" s="91">
        <f t="shared" si="10"/>
        <v>0</v>
      </c>
      <c r="F36" s="23"/>
      <c r="G36" s="23"/>
      <c r="H36" s="23"/>
      <c r="I36" s="23"/>
      <c r="J36" s="23"/>
      <c r="K36" s="23"/>
      <c r="L36" s="23"/>
      <c r="M36" s="23">
        <v>42.26</v>
      </c>
      <c r="N36" s="23"/>
      <c r="O36" s="23">
        <v>45</v>
      </c>
      <c r="P36" s="23"/>
      <c r="Q36" s="23"/>
      <c r="R36" s="23">
        <v>110</v>
      </c>
      <c r="S36" s="23">
        <v>75</v>
      </c>
      <c r="T36" s="23"/>
      <c r="U36" s="23"/>
      <c r="V36" s="23"/>
      <c r="W36" s="23"/>
      <c r="X36" s="23"/>
      <c r="Y36" s="23"/>
      <c r="Z36" s="23">
        <v>34</v>
      </c>
      <c r="AA36" s="23"/>
      <c r="AB36" s="23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5"/>
      <c r="BM36" s="25"/>
      <c r="BN36" s="25"/>
      <c r="BO36" s="26"/>
      <c r="BP36" s="25"/>
      <c r="BQ36" s="25"/>
      <c r="BR36" s="26"/>
      <c r="BS36" s="25"/>
      <c r="BT36" s="26"/>
      <c r="BU36" s="25"/>
      <c r="BV36" s="25"/>
      <c r="BW36" s="25"/>
      <c r="BX36" s="25"/>
      <c r="BY36" s="25"/>
      <c r="BZ36" s="26"/>
      <c r="CA36" s="25"/>
      <c r="CB36" s="26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7"/>
      <c r="FW36" s="27"/>
      <c r="FX36" s="28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</row>
    <row r="37" spans="1:220" ht="12.75" x14ac:dyDescent="0.2">
      <c r="A37" s="24" t="s">
        <v>944</v>
      </c>
      <c r="B37" s="24">
        <v>617172</v>
      </c>
      <c r="C37" s="24">
        <v>365.01</v>
      </c>
      <c r="D37" s="80" t="s">
        <v>949</v>
      </c>
      <c r="E37" s="91">
        <f t="shared" si="10"/>
        <v>12.009999999999991</v>
      </c>
      <c r="F37" s="23"/>
      <c r="G37" s="23"/>
      <c r="H37" s="23"/>
      <c r="I37" s="23"/>
      <c r="J37" s="23"/>
      <c r="K37" s="23"/>
      <c r="L37" s="23"/>
      <c r="M37" s="23"/>
      <c r="N37" s="23">
        <v>45</v>
      </c>
      <c r="O37" s="23">
        <v>56</v>
      </c>
      <c r="P37" s="23">
        <v>40</v>
      </c>
      <c r="Q37" s="23">
        <v>33</v>
      </c>
      <c r="R37" s="23">
        <v>68</v>
      </c>
      <c r="S37" s="23">
        <v>71</v>
      </c>
      <c r="T37" s="23"/>
      <c r="U37" s="23"/>
      <c r="V37" s="23"/>
      <c r="W37" s="23"/>
      <c r="X37" s="23"/>
      <c r="Y37" s="23"/>
      <c r="Z37" s="23">
        <v>40</v>
      </c>
      <c r="AA37" s="23"/>
      <c r="AB37" s="23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5"/>
      <c r="BM37" s="25"/>
      <c r="BN37" s="25"/>
      <c r="BO37" s="26"/>
      <c r="BP37" s="25"/>
      <c r="BQ37" s="25"/>
      <c r="BR37" s="26"/>
      <c r="BS37" s="25"/>
      <c r="BT37" s="26"/>
      <c r="BU37" s="25"/>
      <c r="BV37" s="25"/>
      <c r="BW37" s="25"/>
      <c r="BX37" s="25"/>
      <c r="BY37" s="25"/>
      <c r="BZ37" s="26"/>
      <c r="CA37" s="25"/>
      <c r="CB37" s="26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7"/>
      <c r="FW37" s="27"/>
      <c r="FX37" s="28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</row>
    <row r="38" spans="1:220" ht="14.25" customHeight="1" x14ac:dyDescent="0.2">
      <c r="A38" s="24" t="s">
        <v>944</v>
      </c>
      <c r="B38" s="24">
        <v>617172</v>
      </c>
      <c r="C38" s="24">
        <v>367.87</v>
      </c>
      <c r="D38" s="79" t="s">
        <v>950</v>
      </c>
      <c r="E38" s="91">
        <f t="shared" si="10"/>
        <v>9.9999999999909051E-3</v>
      </c>
      <c r="F38" s="23"/>
      <c r="G38" s="23"/>
      <c r="H38" s="23"/>
      <c r="I38" s="23"/>
      <c r="J38" s="23"/>
      <c r="K38" s="23"/>
      <c r="L38" s="23"/>
      <c r="M38" s="23">
        <v>30.86</v>
      </c>
      <c r="N38" s="23">
        <v>36</v>
      </c>
      <c r="O38" s="23">
        <v>35</v>
      </c>
      <c r="P38" s="23">
        <v>45</v>
      </c>
      <c r="Q38" s="23">
        <v>35</v>
      </c>
      <c r="R38" s="23">
        <v>72</v>
      </c>
      <c r="S38" s="23">
        <v>79</v>
      </c>
      <c r="T38" s="23"/>
      <c r="U38" s="23"/>
      <c r="V38" s="23"/>
      <c r="W38" s="23"/>
      <c r="X38" s="23"/>
      <c r="Y38" s="23"/>
      <c r="Z38" s="23"/>
      <c r="AA38" s="23"/>
      <c r="AB38" s="23">
        <v>35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5"/>
      <c r="BM38" s="25"/>
      <c r="BN38" s="25"/>
      <c r="BO38" s="26"/>
      <c r="BP38" s="25"/>
      <c r="BQ38" s="25"/>
      <c r="BR38" s="26"/>
      <c r="BS38" s="25"/>
      <c r="BT38" s="26"/>
      <c r="BU38" s="25"/>
      <c r="BV38" s="25"/>
      <c r="BW38" s="25"/>
      <c r="BX38" s="25"/>
      <c r="BY38" s="25"/>
      <c r="BZ38" s="26"/>
      <c r="CA38" s="25"/>
      <c r="CB38" s="26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7"/>
      <c r="FW38" s="27"/>
      <c r="FX38" s="28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</row>
    <row r="39" spans="1:220" ht="14.25" customHeight="1" x14ac:dyDescent="0.2">
      <c r="A39" s="24" t="s">
        <v>944</v>
      </c>
      <c r="B39" s="24">
        <v>617172</v>
      </c>
      <c r="C39" s="24">
        <v>192.37</v>
      </c>
      <c r="D39" s="79" t="s">
        <v>951</v>
      </c>
      <c r="E39" s="91">
        <f t="shared" si="10"/>
        <v>2.3700000000000045</v>
      </c>
      <c r="F39" s="23"/>
      <c r="G39" s="23"/>
      <c r="H39" s="23"/>
      <c r="I39" s="23"/>
      <c r="J39" s="23"/>
      <c r="K39" s="23"/>
      <c r="L39" s="23"/>
      <c r="M39" s="23"/>
      <c r="N39" s="23">
        <v>54</v>
      </c>
      <c r="O39" s="23">
        <v>44</v>
      </c>
      <c r="P39" s="23"/>
      <c r="Q39" s="23"/>
      <c r="R39" s="23">
        <v>51</v>
      </c>
      <c r="S39" s="23">
        <v>41</v>
      </c>
      <c r="T39" s="23"/>
      <c r="U39" s="23"/>
      <c r="V39" s="23"/>
      <c r="W39" s="23"/>
      <c r="X39" s="23"/>
      <c r="Y39" s="23"/>
      <c r="Z39" s="23"/>
      <c r="AA39" s="23"/>
      <c r="AB39" s="23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5"/>
      <c r="BM39" s="25"/>
      <c r="BN39" s="25"/>
      <c r="BO39" s="26"/>
      <c r="BP39" s="25"/>
      <c r="BQ39" s="25"/>
      <c r="BR39" s="26"/>
      <c r="BS39" s="25"/>
      <c r="BT39" s="26"/>
      <c r="BU39" s="25"/>
      <c r="BV39" s="25"/>
      <c r="BW39" s="25"/>
      <c r="BX39" s="25"/>
      <c r="BY39" s="25"/>
      <c r="BZ39" s="26"/>
      <c r="CA39" s="25"/>
      <c r="CB39" s="26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7"/>
      <c r="FW39" s="27"/>
      <c r="FX39" s="28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</row>
    <row r="40" spans="1:220" ht="14.25" customHeight="1" x14ac:dyDescent="0.2">
      <c r="A40" s="24" t="s">
        <v>944</v>
      </c>
      <c r="B40" s="24">
        <v>617172</v>
      </c>
      <c r="C40" s="24">
        <v>356.04</v>
      </c>
      <c r="D40" s="79" t="s">
        <v>952</v>
      </c>
      <c r="E40" s="91">
        <f t="shared" si="10"/>
        <v>4.0000000000020464E-2</v>
      </c>
      <c r="F40" s="23"/>
      <c r="G40" s="23"/>
      <c r="H40" s="23"/>
      <c r="I40" s="23"/>
      <c r="J40" s="23"/>
      <c r="K40" s="23"/>
      <c r="L40" s="23"/>
      <c r="M40" s="23">
        <v>67</v>
      </c>
      <c r="N40" s="23">
        <v>26</v>
      </c>
      <c r="O40" s="23">
        <v>40</v>
      </c>
      <c r="P40" s="23"/>
      <c r="Q40" s="23">
        <v>31</v>
      </c>
      <c r="R40" s="23">
        <v>85</v>
      </c>
      <c r="S40" s="23">
        <v>74</v>
      </c>
      <c r="T40" s="23"/>
      <c r="U40" s="23"/>
      <c r="V40" s="23"/>
      <c r="W40" s="23"/>
      <c r="X40" s="23"/>
      <c r="Y40" s="23"/>
      <c r="Z40" s="23"/>
      <c r="AA40" s="23">
        <v>33</v>
      </c>
      <c r="AB40" s="23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5"/>
      <c r="BM40" s="25"/>
      <c r="BN40" s="25"/>
      <c r="BO40" s="26"/>
      <c r="BP40" s="25"/>
      <c r="BQ40" s="25"/>
      <c r="BR40" s="26"/>
      <c r="BS40" s="25"/>
      <c r="BT40" s="26"/>
      <c r="BU40" s="25"/>
      <c r="BV40" s="25"/>
      <c r="BW40" s="25"/>
      <c r="BX40" s="25"/>
      <c r="BY40" s="25"/>
      <c r="BZ40" s="26"/>
      <c r="CA40" s="25"/>
      <c r="CB40" s="26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7"/>
      <c r="FW40" s="27"/>
      <c r="FX40" s="28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</row>
    <row r="41" spans="1:220" ht="14.25" customHeight="1" x14ac:dyDescent="0.2">
      <c r="A41" s="24" t="s">
        <v>953</v>
      </c>
      <c r="B41" s="24">
        <v>616118</v>
      </c>
      <c r="C41" s="24">
        <v>327.48</v>
      </c>
      <c r="D41" s="79" t="s">
        <v>95</v>
      </c>
      <c r="E41" s="91">
        <f t="shared" si="10"/>
        <v>0.48000000000001819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6"/>
      <c r="AD41" s="26">
        <v>18</v>
      </c>
      <c r="AE41" s="26">
        <v>42</v>
      </c>
      <c r="AF41" s="26">
        <v>31</v>
      </c>
      <c r="AG41" s="26">
        <v>82</v>
      </c>
      <c r="AH41" s="26"/>
      <c r="AI41" s="26">
        <v>104</v>
      </c>
      <c r="AJ41" s="26">
        <v>50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5"/>
      <c r="BM41" s="25"/>
      <c r="BN41" s="25"/>
      <c r="BO41" s="26"/>
      <c r="BP41" s="25"/>
      <c r="BQ41" s="25"/>
      <c r="BR41" s="26"/>
      <c r="BS41" s="25"/>
      <c r="BT41" s="26"/>
      <c r="BU41" s="25"/>
      <c r="BV41" s="25"/>
      <c r="BW41" s="25"/>
      <c r="BX41" s="25"/>
      <c r="BY41" s="25"/>
      <c r="BZ41" s="26"/>
      <c r="CA41" s="25"/>
      <c r="CB41" s="26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7"/>
      <c r="FW41" s="27"/>
      <c r="FX41" s="28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</row>
    <row r="42" spans="1:220" ht="14.25" customHeight="1" x14ac:dyDescent="0.2">
      <c r="A42" s="24" t="s">
        <v>953</v>
      </c>
      <c r="B42" s="24">
        <v>616118</v>
      </c>
      <c r="C42" s="24">
        <v>398.9</v>
      </c>
      <c r="D42" s="79" t="s">
        <v>96</v>
      </c>
      <c r="E42" s="91">
        <f t="shared" si="10"/>
        <v>-0.10000000000002274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6"/>
      <c r="AD42" s="26">
        <v>42</v>
      </c>
      <c r="AE42" s="26">
        <v>34</v>
      </c>
      <c r="AF42" s="26">
        <v>51</v>
      </c>
      <c r="AG42" s="26">
        <v>109</v>
      </c>
      <c r="AH42" s="26">
        <v>31</v>
      </c>
      <c r="AI42" s="26">
        <v>35</v>
      </c>
      <c r="AJ42" s="26">
        <v>97</v>
      </c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5"/>
      <c r="BM42" s="25"/>
      <c r="BN42" s="25"/>
      <c r="BO42" s="26"/>
      <c r="BP42" s="25"/>
      <c r="BQ42" s="25"/>
      <c r="BR42" s="26"/>
      <c r="BS42" s="25"/>
      <c r="BT42" s="26"/>
      <c r="BU42" s="25"/>
      <c r="BV42" s="25"/>
      <c r="BW42" s="25"/>
      <c r="BX42" s="25"/>
      <c r="BY42" s="25"/>
      <c r="BZ42" s="26"/>
      <c r="CA42" s="25"/>
      <c r="CB42" s="26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7"/>
      <c r="FW42" s="27"/>
      <c r="FX42" s="28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</row>
    <row r="43" spans="1:220" ht="14.25" customHeight="1" x14ac:dyDescent="0.2">
      <c r="A43" s="24" t="s">
        <v>953</v>
      </c>
      <c r="B43" s="24">
        <v>616118</v>
      </c>
      <c r="C43" s="24">
        <v>277.02999999999997</v>
      </c>
      <c r="D43" s="79" t="s">
        <v>98</v>
      </c>
      <c r="E43" s="91">
        <f t="shared" si="10"/>
        <v>2.9999999999972715E-2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6"/>
      <c r="AD43" s="26">
        <v>38</v>
      </c>
      <c r="AE43" s="26">
        <v>41</v>
      </c>
      <c r="AF43" s="26">
        <v>30</v>
      </c>
      <c r="AG43" s="26">
        <v>99</v>
      </c>
      <c r="AH43" s="26"/>
      <c r="AI43" s="26">
        <v>39</v>
      </c>
      <c r="AJ43" s="26">
        <v>30</v>
      </c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5"/>
      <c r="BM43" s="25"/>
      <c r="BN43" s="25"/>
      <c r="BO43" s="26"/>
      <c r="BP43" s="25"/>
      <c r="BQ43" s="25"/>
      <c r="BR43" s="26"/>
      <c r="BS43" s="25"/>
      <c r="BT43" s="26"/>
      <c r="BU43" s="25"/>
      <c r="BV43" s="25"/>
      <c r="BW43" s="25"/>
      <c r="BX43" s="25"/>
      <c r="BY43" s="25"/>
      <c r="BZ43" s="26"/>
      <c r="CA43" s="25"/>
      <c r="CB43" s="26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7"/>
      <c r="FW43" s="27"/>
      <c r="FX43" s="28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</row>
    <row r="44" spans="1:220" ht="12.75" x14ac:dyDescent="0.2">
      <c r="A44" s="165" t="s">
        <v>955</v>
      </c>
      <c r="B44" s="166"/>
      <c r="C44" s="166"/>
      <c r="D44" s="167"/>
      <c r="E44" s="52">
        <v>774</v>
      </c>
      <c r="F44" s="25"/>
      <c r="G44" s="25">
        <v>0</v>
      </c>
      <c r="H44" s="25">
        <v>0</v>
      </c>
      <c r="I44" s="25">
        <v>0</v>
      </c>
      <c r="J44" s="25">
        <v>0</v>
      </c>
      <c r="K44" s="25">
        <v>475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221</v>
      </c>
      <c r="AB44" s="37">
        <v>329</v>
      </c>
      <c r="AC44" s="37">
        <v>300.60000000000002</v>
      </c>
      <c r="AD44" s="37">
        <v>370</v>
      </c>
      <c r="AE44" s="37">
        <v>600</v>
      </c>
      <c r="AF44" s="37">
        <v>645</v>
      </c>
      <c r="AG44" s="37">
        <v>1272</v>
      </c>
      <c r="AH44" s="37">
        <v>408</v>
      </c>
      <c r="AI44" s="37">
        <v>818</v>
      </c>
      <c r="AJ44" s="37">
        <v>909</v>
      </c>
      <c r="AK44" s="37">
        <v>623</v>
      </c>
      <c r="AL44" s="37">
        <v>243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-20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-39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-85</v>
      </c>
      <c r="CV44" s="37">
        <v>0</v>
      </c>
      <c r="CW44" s="37">
        <v>0</v>
      </c>
      <c r="CX44" s="37">
        <v>0</v>
      </c>
      <c r="CY44" s="37">
        <v>0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-59</v>
      </c>
      <c r="DK44" s="37">
        <v>0</v>
      </c>
      <c r="DL44" s="37">
        <v>0</v>
      </c>
      <c r="DM44" s="37">
        <v>-60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  <c r="DU44" s="37">
        <v>0</v>
      </c>
      <c r="DV44" s="37">
        <v>0</v>
      </c>
      <c r="DW44" s="37">
        <v>0</v>
      </c>
      <c r="DX44" s="37">
        <v>0</v>
      </c>
      <c r="DY44" s="37">
        <v>0</v>
      </c>
      <c r="DZ44" s="37">
        <v>0</v>
      </c>
      <c r="EA44" s="37">
        <v>0</v>
      </c>
      <c r="EB44" s="37">
        <v>0</v>
      </c>
      <c r="EC44" s="37">
        <v>0</v>
      </c>
      <c r="ED44" s="37">
        <v>0</v>
      </c>
      <c r="EE44" s="37">
        <v>0</v>
      </c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7"/>
      <c r="FW44" s="27"/>
      <c r="FX44" s="28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</row>
    <row r="45" spans="1:220" ht="12.75" x14ac:dyDescent="0.2">
      <c r="A45" s="53">
        <v>43798.444027777776</v>
      </c>
      <c r="B45" s="54">
        <v>605884</v>
      </c>
      <c r="C45" s="54">
        <v>354.16</v>
      </c>
      <c r="D45" s="81" t="s">
        <v>99</v>
      </c>
      <c r="E45" s="32"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5"/>
      <c r="AK45" s="25"/>
      <c r="AL45" s="25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>
        <v>51</v>
      </c>
      <c r="BC45" s="26"/>
      <c r="BD45" s="26">
        <v>42</v>
      </c>
      <c r="BE45" s="26">
        <v>40</v>
      </c>
      <c r="BF45" s="26">
        <v>45</v>
      </c>
      <c r="BG45" s="26"/>
      <c r="BH45" s="26">
        <v>20</v>
      </c>
      <c r="BI45" s="26">
        <v>42</v>
      </c>
      <c r="BJ45" s="26"/>
      <c r="BK45" s="26"/>
      <c r="BL45" s="25"/>
      <c r="BM45" s="25"/>
      <c r="BN45" s="25"/>
      <c r="BO45" s="26"/>
      <c r="BP45" s="25"/>
      <c r="BQ45" s="25"/>
      <c r="BR45" s="26"/>
      <c r="BS45" s="25"/>
      <c r="BT45" s="26"/>
      <c r="BU45" s="25"/>
      <c r="BV45" s="25"/>
      <c r="BW45" s="25"/>
      <c r="BX45" s="25"/>
      <c r="BY45" s="25"/>
      <c r="BZ45" s="26"/>
      <c r="CA45" s="25"/>
      <c r="CB45" s="26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7"/>
      <c r="FW45" s="27"/>
      <c r="FX45" s="28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</row>
    <row r="46" spans="1:220" ht="12.75" x14ac:dyDescent="0.2">
      <c r="A46" s="53">
        <v>43798.444027777776</v>
      </c>
      <c r="B46" s="54">
        <v>605884</v>
      </c>
      <c r="C46" s="54">
        <v>371.07</v>
      </c>
      <c r="D46" s="81" t="s">
        <v>100</v>
      </c>
      <c r="E46" s="32"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5"/>
      <c r="AZ46" s="26"/>
      <c r="BA46" s="26"/>
      <c r="BB46" s="26"/>
      <c r="BC46" s="26"/>
      <c r="BD46" s="26">
        <v>30</v>
      </c>
      <c r="BE46" s="26">
        <v>55</v>
      </c>
      <c r="BF46" s="26">
        <v>50</v>
      </c>
      <c r="BG46" s="26"/>
      <c r="BH46" s="26">
        <v>58</v>
      </c>
      <c r="BI46" s="26">
        <v>45</v>
      </c>
      <c r="BJ46" s="26"/>
      <c r="BK46" s="26"/>
      <c r="BL46" s="25"/>
      <c r="BM46" s="25"/>
      <c r="BN46" s="25"/>
      <c r="BO46" s="26"/>
      <c r="BP46" s="25"/>
      <c r="BQ46" s="25"/>
      <c r="BR46" s="26"/>
      <c r="BS46" s="25"/>
      <c r="BT46" s="26"/>
      <c r="BU46" s="25"/>
      <c r="BV46" s="25"/>
      <c r="BW46" s="25"/>
      <c r="BX46" s="25"/>
      <c r="BY46" s="25"/>
      <c r="BZ46" s="26"/>
      <c r="CA46" s="25"/>
      <c r="CB46" s="26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7"/>
      <c r="FW46" s="27"/>
      <c r="FX46" s="28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</row>
    <row r="47" spans="1:220" ht="12.75" x14ac:dyDescent="0.2">
      <c r="A47" s="53">
        <v>43798.444027777776</v>
      </c>
      <c r="B47" s="54">
        <v>605884</v>
      </c>
      <c r="C47" s="54">
        <v>346.15</v>
      </c>
      <c r="D47" s="81" t="s">
        <v>101</v>
      </c>
      <c r="E47" s="32">
        <v>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5"/>
      <c r="AZ47" s="26"/>
      <c r="BA47" s="26"/>
      <c r="BB47" s="26"/>
      <c r="BC47" s="26"/>
      <c r="BD47" s="26">
        <v>86</v>
      </c>
      <c r="BE47" s="26"/>
      <c r="BF47" s="26">
        <v>39</v>
      </c>
      <c r="BG47" s="26">
        <v>39</v>
      </c>
      <c r="BH47" s="26">
        <v>49</v>
      </c>
      <c r="BI47" s="26"/>
      <c r="BJ47" s="26"/>
      <c r="BK47" s="26"/>
      <c r="BL47" s="25"/>
      <c r="BM47" s="25"/>
      <c r="BN47" s="25"/>
      <c r="BO47" s="26"/>
      <c r="BP47" s="25"/>
      <c r="BQ47" s="25"/>
      <c r="BR47" s="26"/>
      <c r="BS47" s="25"/>
      <c r="BT47" s="26"/>
      <c r="BU47" s="25"/>
      <c r="BV47" s="25"/>
      <c r="BW47" s="25"/>
      <c r="BX47" s="25"/>
      <c r="BY47" s="25"/>
      <c r="BZ47" s="26"/>
      <c r="CA47" s="25"/>
      <c r="CB47" s="26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7"/>
      <c r="FW47" s="27"/>
      <c r="FX47" s="28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</row>
    <row r="48" spans="1:220" ht="12.75" x14ac:dyDescent="0.2">
      <c r="A48" s="53">
        <v>43798.444027777776</v>
      </c>
      <c r="B48" s="54">
        <v>605884</v>
      </c>
      <c r="C48" s="54">
        <v>361.97</v>
      </c>
      <c r="D48" s="81" t="s">
        <v>102</v>
      </c>
      <c r="E48" s="32"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5"/>
      <c r="AZ48" s="26"/>
      <c r="BA48" s="26"/>
      <c r="BB48" s="26"/>
      <c r="BC48" s="26"/>
      <c r="BD48" s="26">
        <v>86</v>
      </c>
      <c r="BE48" s="26">
        <v>53</v>
      </c>
      <c r="BF48" s="26">
        <v>34</v>
      </c>
      <c r="BG48" s="26"/>
      <c r="BH48" s="26">
        <v>31</v>
      </c>
      <c r="BI48" s="26">
        <v>39</v>
      </c>
      <c r="BJ48" s="26"/>
      <c r="BK48" s="26"/>
      <c r="BL48" s="25"/>
      <c r="BM48" s="25"/>
      <c r="BN48" s="25"/>
      <c r="BO48" s="26"/>
      <c r="BP48" s="25"/>
      <c r="BQ48" s="25"/>
      <c r="BR48" s="26"/>
      <c r="BS48" s="25"/>
      <c r="BT48" s="26"/>
      <c r="BU48" s="25"/>
      <c r="BV48" s="25"/>
      <c r="BW48" s="25"/>
      <c r="BX48" s="25"/>
      <c r="BY48" s="25"/>
      <c r="BZ48" s="26"/>
      <c r="CA48" s="25"/>
      <c r="CB48" s="26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7"/>
      <c r="FW48" s="27"/>
      <c r="FX48" s="28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</row>
    <row r="49" spans="1:220" ht="12.75" x14ac:dyDescent="0.2">
      <c r="A49" s="53">
        <v>43798.444027777776</v>
      </c>
      <c r="B49" s="54">
        <v>605884</v>
      </c>
      <c r="C49" s="54">
        <v>334.87</v>
      </c>
      <c r="D49" s="81" t="s">
        <v>104</v>
      </c>
      <c r="E49" s="32">
        <v>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5"/>
      <c r="AZ49" s="26"/>
      <c r="BA49" s="26"/>
      <c r="BB49" s="26"/>
      <c r="BC49" s="26"/>
      <c r="BD49" s="26">
        <v>25</v>
      </c>
      <c r="BE49" s="26">
        <v>61</v>
      </c>
      <c r="BF49" s="26">
        <v>60</v>
      </c>
      <c r="BG49" s="26"/>
      <c r="BH49" s="26">
        <v>43</v>
      </c>
      <c r="BI49" s="26"/>
      <c r="BJ49" s="26"/>
      <c r="BK49" s="26"/>
      <c r="BL49" s="25"/>
      <c r="BM49" s="25"/>
      <c r="BN49" s="25"/>
      <c r="BO49" s="26"/>
      <c r="BP49" s="25"/>
      <c r="BQ49" s="25"/>
      <c r="BR49" s="26"/>
      <c r="BS49" s="25"/>
      <c r="BT49" s="26"/>
      <c r="BU49" s="25"/>
      <c r="BV49" s="25"/>
      <c r="BW49" s="25"/>
      <c r="BX49" s="25"/>
      <c r="BY49" s="25"/>
      <c r="BZ49" s="26"/>
      <c r="CA49" s="25"/>
      <c r="CB49" s="26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7"/>
      <c r="FW49" s="27"/>
      <c r="FX49" s="28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</row>
    <row r="50" spans="1:220" ht="15.75" customHeight="1" x14ac:dyDescent="0.2">
      <c r="A50" s="53">
        <v>43798.444027777776</v>
      </c>
      <c r="B50" s="54">
        <v>605884</v>
      </c>
      <c r="C50" s="54">
        <v>349.39</v>
      </c>
      <c r="D50" s="81" t="s">
        <v>105</v>
      </c>
      <c r="E50" s="32">
        <v>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5"/>
      <c r="AY50" s="26"/>
      <c r="AZ50" s="26"/>
      <c r="BA50" s="26"/>
      <c r="BB50" s="26"/>
      <c r="BC50" s="26"/>
      <c r="BD50" s="26">
        <v>53</v>
      </c>
      <c r="BE50" s="26">
        <v>52</v>
      </c>
      <c r="BF50" s="26">
        <v>51</v>
      </c>
      <c r="BG50" s="26"/>
      <c r="BH50" s="26">
        <v>32</v>
      </c>
      <c r="BI50" s="26">
        <v>52</v>
      </c>
      <c r="BJ50" s="26"/>
      <c r="BK50" s="26"/>
      <c r="BL50" s="25"/>
      <c r="BM50" s="25"/>
      <c r="BN50" s="25"/>
      <c r="BO50" s="26"/>
      <c r="BP50" s="25"/>
      <c r="BQ50" s="25"/>
      <c r="BR50" s="26"/>
      <c r="BS50" s="25"/>
      <c r="BT50" s="26"/>
      <c r="BU50" s="25"/>
      <c r="BV50" s="25"/>
      <c r="BW50" s="25"/>
      <c r="BX50" s="25"/>
      <c r="BY50" s="25"/>
      <c r="BZ50" s="26"/>
      <c r="CA50" s="25"/>
      <c r="CB50" s="26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7"/>
      <c r="FW50" s="27"/>
      <c r="FX50" s="28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</row>
    <row r="51" spans="1:220" ht="15.75" customHeight="1" x14ac:dyDescent="0.2">
      <c r="A51" s="53">
        <v>43798.444027777776</v>
      </c>
      <c r="B51" s="54">
        <v>605884</v>
      </c>
      <c r="C51" s="54">
        <v>346.04</v>
      </c>
      <c r="D51" s="81" t="s">
        <v>106</v>
      </c>
      <c r="E51" s="32">
        <v>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5"/>
      <c r="AY51" s="26"/>
      <c r="AZ51" s="26"/>
      <c r="BA51" s="26"/>
      <c r="BB51" s="26">
        <v>54</v>
      </c>
      <c r="BC51" s="26"/>
      <c r="BD51" s="26">
        <v>33</v>
      </c>
      <c r="BE51" s="26"/>
      <c r="BF51" s="26">
        <v>55</v>
      </c>
      <c r="BG51" s="26">
        <v>51</v>
      </c>
      <c r="BH51" s="26">
        <v>51</v>
      </c>
      <c r="BI51" s="26"/>
      <c r="BJ51" s="26"/>
      <c r="BK51" s="26"/>
      <c r="BL51" s="25"/>
      <c r="BM51" s="25"/>
      <c r="BN51" s="25"/>
      <c r="BO51" s="26"/>
      <c r="BP51" s="25"/>
      <c r="BQ51" s="25"/>
      <c r="BR51" s="26"/>
      <c r="BS51" s="25"/>
      <c r="BT51" s="26"/>
      <c r="BU51" s="25"/>
      <c r="BV51" s="25"/>
      <c r="BW51" s="25"/>
      <c r="BX51" s="25"/>
      <c r="BY51" s="25"/>
      <c r="BZ51" s="26"/>
      <c r="CA51" s="25"/>
      <c r="CB51" s="26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7"/>
      <c r="FW51" s="27"/>
      <c r="FX51" s="28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</row>
    <row r="52" spans="1:220" ht="15.75" customHeight="1" x14ac:dyDescent="0.2">
      <c r="A52" s="53">
        <v>43798.444027777776</v>
      </c>
      <c r="B52" s="54">
        <v>605884</v>
      </c>
      <c r="C52" s="54">
        <v>343</v>
      </c>
      <c r="D52" s="82" t="s">
        <v>107</v>
      </c>
      <c r="E52" s="32"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>
        <v>47</v>
      </c>
      <c r="BC52" s="26"/>
      <c r="BD52" s="26">
        <v>40</v>
      </c>
      <c r="BE52" s="26">
        <v>51</v>
      </c>
      <c r="BF52" s="26">
        <v>43</v>
      </c>
      <c r="BG52" s="26"/>
      <c r="BH52" s="26">
        <v>56</v>
      </c>
      <c r="BI52" s="26"/>
      <c r="BJ52" s="26"/>
      <c r="BK52" s="26"/>
      <c r="BL52" s="25"/>
      <c r="BM52" s="25"/>
      <c r="BN52" s="25"/>
      <c r="BO52" s="26"/>
      <c r="BP52" s="25"/>
      <c r="BQ52" s="25"/>
      <c r="BR52" s="26"/>
      <c r="BS52" s="25"/>
      <c r="BT52" s="26"/>
      <c r="BU52" s="25"/>
      <c r="BV52" s="25"/>
      <c r="BW52" s="25"/>
      <c r="BX52" s="25"/>
      <c r="BY52" s="25"/>
      <c r="BZ52" s="26"/>
      <c r="CA52" s="25"/>
      <c r="CB52" s="26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7"/>
      <c r="FW52" s="27"/>
      <c r="FX52" s="28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</row>
    <row r="53" spans="1:220" ht="15.75" customHeight="1" x14ac:dyDescent="0.2">
      <c r="A53" s="53">
        <v>43798.444027777776</v>
      </c>
      <c r="B53" s="54">
        <v>605884</v>
      </c>
      <c r="C53" s="55">
        <v>377.8</v>
      </c>
      <c r="D53" s="83" t="s">
        <v>108</v>
      </c>
      <c r="E53" s="32"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5"/>
      <c r="AZ53" s="26"/>
      <c r="BA53" s="26"/>
      <c r="BB53" s="26"/>
      <c r="BC53" s="26"/>
      <c r="BD53" s="26">
        <v>42</v>
      </c>
      <c r="BE53" s="26"/>
      <c r="BF53" s="26">
        <v>110</v>
      </c>
      <c r="BG53" s="26"/>
      <c r="BH53" s="26">
        <v>49</v>
      </c>
      <c r="BI53" s="26"/>
      <c r="BJ53" s="26"/>
      <c r="BK53" s="26"/>
      <c r="BL53" s="25"/>
      <c r="BM53" s="25"/>
      <c r="BN53" s="25"/>
      <c r="BO53" s="26"/>
      <c r="BP53" s="25"/>
      <c r="BQ53" s="25"/>
      <c r="BR53" s="26"/>
      <c r="BS53" s="25"/>
      <c r="BT53" s="26">
        <v>39</v>
      </c>
      <c r="BU53" s="25"/>
      <c r="BV53" s="25"/>
      <c r="BW53" s="25"/>
      <c r="BX53" s="25"/>
      <c r="BY53" s="25"/>
      <c r="BZ53" s="26"/>
      <c r="CA53" s="25"/>
      <c r="CB53" s="26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7"/>
      <c r="FW53" s="27"/>
      <c r="FX53" s="28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</row>
    <row r="54" spans="1:220" ht="15.75" customHeight="1" x14ac:dyDescent="0.2">
      <c r="A54" s="53">
        <v>43798.444027777776</v>
      </c>
      <c r="B54" s="54">
        <v>605884</v>
      </c>
      <c r="C54" s="54">
        <v>349.2</v>
      </c>
      <c r="D54" s="84" t="s">
        <v>109</v>
      </c>
      <c r="E54" s="32">
        <v>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>
        <v>65</v>
      </c>
      <c r="BE54" s="26"/>
      <c r="BF54" s="26">
        <v>45</v>
      </c>
      <c r="BG54" s="26">
        <v>41</v>
      </c>
      <c r="BH54" s="26"/>
      <c r="BI54" s="26">
        <v>53</v>
      </c>
      <c r="BJ54" s="26"/>
      <c r="BK54" s="26"/>
      <c r="BL54" s="25"/>
      <c r="BM54" s="25"/>
      <c r="BN54" s="25"/>
      <c r="BO54" s="26"/>
      <c r="BP54" s="25"/>
      <c r="BQ54" s="25"/>
      <c r="BR54" s="26"/>
      <c r="BS54" s="25"/>
      <c r="BT54" s="26"/>
      <c r="BU54" s="25"/>
      <c r="BV54" s="25"/>
      <c r="BW54" s="25"/>
      <c r="BX54" s="25"/>
      <c r="BY54" s="25"/>
      <c r="BZ54" s="26"/>
      <c r="CA54" s="25"/>
      <c r="CB54" s="26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7"/>
      <c r="FW54" s="27"/>
      <c r="FX54" s="28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</row>
    <row r="55" spans="1:220" ht="15.75" customHeight="1" x14ac:dyDescent="0.2">
      <c r="A55" s="53">
        <v>43798.444027777776</v>
      </c>
      <c r="B55" s="54">
        <v>605884</v>
      </c>
      <c r="C55" s="54">
        <v>362.05</v>
      </c>
      <c r="D55" s="81" t="s">
        <v>110</v>
      </c>
      <c r="E55" s="32">
        <v>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>
        <v>49</v>
      </c>
      <c r="BC55" s="26"/>
      <c r="BD55" s="26">
        <v>38</v>
      </c>
      <c r="BE55" s="26">
        <v>49</v>
      </c>
      <c r="BF55" s="26">
        <v>30</v>
      </c>
      <c r="BG55" s="26"/>
      <c r="BH55" s="26">
        <v>41</v>
      </c>
      <c r="BI55" s="26">
        <v>40</v>
      </c>
      <c r="BJ55" s="26"/>
      <c r="BK55" s="26"/>
      <c r="BL55" s="25"/>
      <c r="BM55" s="25"/>
      <c r="BN55" s="25"/>
      <c r="BO55" s="26"/>
      <c r="BP55" s="25"/>
      <c r="BQ55" s="25"/>
      <c r="BR55" s="26"/>
      <c r="BS55" s="25"/>
      <c r="BT55" s="26"/>
      <c r="BU55" s="25"/>
      <c r="BV55" s="25"/>
      <c r="BW55" s="25"/>
      <c r="BX55" s="25"/>
      <c r="BY55" s="25"/>
      <c r="BZ55" s="26"/>
      <c r="CA55" s="25"/>
      <c r="CB55" s="26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7"/>
      <c r="FW55" s="27"/>
      <c r="FX55" s="28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</row>
    <row r="56" spans="1:220" ht="15.75" customHeight="1" x14ac:dyDescent="0.2">
      <c r="A56" s="53">
        <v>43798.444027777776</v>
      </c>
      <c r="B56" s="54">
        <v>605884</v>
      </c>
      <c r="C56" s="54">
        <v>375.7</v>
      </c>
      <c r="D56" s="81" t="s">
        <v>111</v>
      </c>
      <c r="E56" s="32"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>
        <v>43</v>
      </c>
      <c r="BE56" s="26">
        <v>45</v>
      </c>
      <c r="BF56" s="26">
        <v>29</v>
      </c>
      <c r="BG56" s="26"/>
      <c r="BH56" s="26">
        <v>57</v>
      </c>
      <c r="BI56" s="26">
        <v>50</v>
      </c>
      <c r="BJ56" s="26"/>
      <c r="BK56" s="26"/>
      <c r="BL56" s="25"/>
      <c r="BM56" s="25"/>
      <c r="BN56" s="25"/>
      <c r="BO56" s="26"/>
      <c r="BP56" s="25"/>
      <c r="BQ56" s="25"/>
      <c r="BR56" s="26"/>
      <c r="BS56" s="25"/>
      <c r="BT56" s="26"/>
      <c r="BU56" s="25"/>
      <c r="BV56" s="25"/>
      <c r="BW56" s="25"/>
      <c r="BX56" s="25"/>
      <c r="BY56" s="25"/>
      <c r="BZ56" s="26"/>
      <c r="CA56" s="25"/>
      <c r="CB56" s="26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7"/>
      <c r="FW56" s="27"/>
      <c r="FX56" s="28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</row>
    <row r="57" spans="1:220" ht="15.75" customHeight="1" x14ac:dyDescent="0.2">
      <c r="A57" s="53">
        <v>43798.444027777776</v>
      </c>
      <c r="B57" s="54">
        <v>605884</v>
      </c>
      <c r="C57" s="54">
        <v>343.9</v>
      </c>
      <c r="D57" s="81" t="s">
        <v>112</v>
      </c>
      <c r="E57" s="32">
        <v>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>
        <v>55</v>
      </c>
      <c r="BE57" s="26">
        <v>50</v>
      </c>
      <c r="BF57" s="26">
        <v>43</v>
      </c>
      <c r="BG57" s="26">
        <v>30</v>
      </c>
      <c r="BH57" s="26">
        <v>55</v>
      </c>
      <c r="BI57" s="26"/>
      <c r="BJ57" s="26"/>
      <c r="BK57" s="26"/>
      <c r="BL57" s="25"/>
      <c r="BM57" s="25"/>
      <c r="BN57" s="25"/>
      <c r="BO57" s="26"/>
      <c r="BP57" s="25"/>
      <c r="BQ57" s="25"/>
      <c r="BR57" s="26"/>
      <c r="BS57" s="25"/>
      <c r="BT57" s="26"/>
      <c r="BU57" s="25"/>
      <c r="BV57" s="25"/>
      <c r="BW57" s="25"/>
      <c r="BX57" s="25"/>
      <c r="BY57" s="25"/>
      <c r="BZ57" s="26"/>
      <c r="CA57" s="25"/>
      <c r="CB57" s="26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7"/>
      <c r="FW57" s="27"/>
      <c r="FX57" s="28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</row>
    <row r="58" spans="1:220" ht="15.75" customHeight="1" x14ac:dyDescent="0.2">
      <c r="A58" s="53">
        <v>43798.444027777776</v>
      </c>
      <c r="B58" s="54">
        <v>605884</v>
      </c>
      <c r="C58" s="54">
        <v>358</v>
      </c>
      <c r="D58" s="81" t="s">
        <v>114</v>
      </c>
      <c r="E58" s="32">
        <v>0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>
        <v>93</v>
      </c>
      <c r="BE58" s="26">
        <v>34</v>
      </c>
      <c r="BF58" s="26">
        <v>33</v>
      </c>
      <c r="BG58" s="26"/>
      <c r="BH58" s="26">
        <v>20</v>
      </c>
      <c r="BI58" s="26">
        <v>39</v>
      </c>
      <c r="BJ58" s="26"/>
      <c r="BK58" s="26"/>
      <c r="BL58" s="25"/>
      <c r="BM58" s="25"/>
      <c r="BN58" s="25"/>
      <c r="BO58" s="26"/>
      <c r="BP58" s="25"/>
      <c r="BQ58" s="25"/>
      <c r="BR58" s="26"/>
      <c r="BS58" s="25"/>
      <c r="BT58" s="26"/>
      <c r="BU58" s="25"/>
      <c r="BV58" s="25"/>
      <c r="BW58" s="25"/>
      <c r="BX58" s="25"/>
      <c r="BY58" s="25"/>
      <c r="BZ58" s="26"/>
      <c r="CA58" s="25"/>
      <c r="CB58" s="26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7"/>
      <c r="FW58" s="27"/>
      <c r="FX58" s="28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</row>
    <row r="59" spans="1:220" ht="15.75" customHeight="1" x14ac:dyDescent="0.2">
      <c r="A59" s="53">
        <v>43798.444027777776</v>
      </c>
      <c r="B59" s="54">
        <v>605884</v>
      </c>
      <c r="C59" s="54">
        <v>340</v>
      </c>
      <c r="D59" s="81" t="s">
        <v>115</v>
      </c>
      <c r="E59" s="32">
        <v>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>
        <f>24+57</f>
        <v>81</v>
      </c>
      <c r="BE59" s="26"/>
      <c r="BF59" s="26">
        <v>57</v>
      </c>
      <c r="BG59" s="26">
        <v>31</v>
      </c>
      <c r="BH59" s="26">
        <v>40</v>
      </c>
      <c r="BI59" s="26"/>
      <c r="BJ59" s="26"/>
      <c r="BK59" s="26"/>
      <c r="BL59" s="25"/>
      <c r="BM59" s="25"/>
      <c r="BN59" s="25"/>
      <c r="BO59" s="26"/>
      <c r="BP59" s="25"/>
      <c r="BQ59" s="25"/>
      <c r="BR59" s="26"/>
      <c r="BS59" s="25"/>
      <c r="BT59" s="26"/>
      <c r="BU59" s="25"/>
      <c r="BV59" s="25"/>
      <c r="BW59" s="25"/>
      <c r="BX59" s="25"/>
      <c r="BY59" s="25"/>
      <c r="BZ59" s="26"/>
      <c r="CA59" s="25"/>
      <c r="CB59" s="26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7"/>
      <c r="FW59" s="27"/>
      <c r="FX59" s="28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</row>
    <row r="60" spans="1:220" ht="15.75" customHeight="1" x14ac:dyDescent="0.2">
      <c r="A60" s="53">
        <v>43792.584560185183</v>
      </c>
      <c r="B60" s="54">
        <v>605076</v>
      </c>
      <c r="C60" s="54">
        <v>279.95999999999998</v>
      </c>
      <c r="D60" s="81" t="s">
        <v>116</v>
      </c>
      <c r="E60" s="32"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>
        <v>56</v>
      </c>
      <c r="BJ60" s="26"/>
      <c r="BK60" s="26">
        <v>25</v>
      </c>
      <c r="BL60" s="25"/>
      <c r="BM60" s="25"/>
      <c r="BN60" s="25"/>
      <c r="BO60" s="26">
        <v>37</v>
      </c>
      <c r="BP60" s="25"/>
      <c r="BQ60" s="25"/>
      <c r="BR60" s="26">
        <v>50</v>
      </c>
      <c r="BS60" s="25"/>
      <c r="BT60" s="26">
        <v>50</v>
      </c>
      <c r="BU60" s="25"/>
      <c r="BV60" s="25"/>
      <c r="BW60" s="25"/>
      <c r="BX60" s="25"/>
      <c r="BY60" s="25"/>
      <c r="BZ60" s="26">
        <v>26</v>
      </c>
      <c r="CA60" s="25"/>
      <c r="CB60" s="26">
        <v>36</v>
      </c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7"/>
      <c r="FW60" s="27"/>
      <c r="FX60" s="28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</row>
    <row r="61" spans="1:220" ht="15.75" customHeight="1" x14ac:dyDescent="0.2">
      <c r="A61" s="53">
        <v>43792.584560185183</v>
      </c>
      <c r="B61" s="54">
        <v>605076</v>
      </c>
      <c r="C61" s="54">
        <v>264.79000000000002</v>
      </c>
      <c r="D61" s="81" t="s">
        <v>117</v>
      </c>
      <c r="E61" s="32">
        <f t="shared" ref="E61:E124" si="11">C61-SUM(AN61:HK61)</f>
        <v>-0.20999999999997954</v>
      </c>
      <c r="F61" s="26"/>
      <c r="G61" s="92"/>
      <c r="H61" s="92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>
        <v>41</v>
      </c>
      <c r="BJ61" s="26">
        <v>49</v>
      </c>
      <c r="BK61" s="26"/>
      <c r="BL61" s="26">
        <v>29</v>
      </c>
      <c r="BM61" s="26"/>
      <c r="BN61" s="26"/>
      <c r="BO61" s="26">
        <v>35</v>
      </c>
      <c r="BP61" s="26"/>
      <c r="BQ61" s="26"/>
      <c r="BR61" s="26">
        <v>29</v>
      </c>
      <c r="BS61" s="26"/>
      <c r="BT61" s="26">
        <v>31</v>
      </c>
      <c r="BU61" s="26"/>
      <c r="BV61" s="26"/>
      <c r="BW61" s="26"/>
      <c r="BX61" s="26"/>
      <c r="BY61" s="26">
        <v>20</v>
      </c>
      <c r="BZ61" s="26"/>
      <c r="CA61" s="26">
        <v>31</v>
      </c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7"/>
      <c r="FW61" s="27"/>
      <c r="FX61" s="28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</row>
    <row r="62" spans="1:220" ht="15.75" customHeight="1" x14ac:dyDescent="0.2">
      <c r="A62" s="53">
        <v>43792.584560185183</v>
      </c>
      <c r="B62" s="54">
        <v>605076</v>
      </c>
      <c r="C62" s="54">
        <v>274.22000000000003</v>
      </c>
      <c r="D62" s="81" t="s">
        <v>118</v>
      </c>
      <c r="E62" s="32">
        <f t="shared" si="11"/>
        <v>0.22000000000002728</v>
      </c>
      <c r="F62" s="26"/>
      <c r="G62" s="92"/>
      <c r="H62" s="92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>
        <v>26</v>
      </c>
      <c r="BJ62" s="26"/>
      <c r="BK62" s="26"/>
      <c r="BL62" s="26">
        <v>59</v>
      </c>
      <c r="BM62" s="26"/>
      <c r="BN62" s="26"/>
      <c r="BO62" s="26">
        <v>36</v>
      </c>
      <c r="BP62" s="26"/>
      <c r="BQ62" s="26"/>
      <c r="BR62" s="26">
        <v>35</v>
      </c>
      <c r="BS62" s="26"/>
      <c r="BT62" s="26">
        <v>55</v>
      </c>
      <c r="BU62" s="26"/>
      <c r="BV62" s="26"/>
      <c r="BW62" s="26"/>
      <c r="BX62" s="26"/>
      <c r="BY62" s="26">
        <v>33</v>
      </c>
      <c r="BZ62" s="26"/>
      <c r="CA62" s="26">
        <v>30</v>
      </c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7"/>
      <c r="FW62" s="27"/>
      <c r="FX62" s="28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</row>
    <row r="63" spans="1:220" ht="15.75" customHeight="1" x14ac:dyDescent="0.2">
      <c r="A63" s="53">
        <v>43792.574004629627</v>
      </c>
      <c r="B63" s="54">
        <v>605075</v>
      </c>
      <c r="C63" s="54">
        <v>264.99</v>
      </c>
      <c r="D63" s="81" t="s">
        <v>119</v>
      </c>
      <c r="E63" s="32">
        <f t="shared" si="11"/>
        <v>-9.9999999999909051E-3</v>
      </c>
      <c r="F63" s="26"/>
      <c r="G63" s="92"/>
      <c r="H63" s="92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>
        <v>45</v>
      </c>
      <c r="BJ63" s="26"/>
      <c r="BK63" s="26"/>
      <c r="BL63" s="26">
        <v>50</v>
      </c>
      <c r="BM63" s="26"/>
      <c r="BN63" s="26"/>
      <c r="BO63" s="26">
        <v>35</v>
      </c>
      <c r="BP63" s="26"/>
      <c r="BQ63" s="26"/>
      <c r="BR63" s="26"/>
      <c r="BS63" s="26">
        <v>58</v>
      </c>
      <c r="BT63" s="26"/>
      <c r="BU63" s="26"/>
      <c r="BV63" s="26"/>
      <c r="BW63" s="26"/>
      <c r="BX63" s="26">
        <v>28</v>
      </c>
      <c r="BY63" s="26"/>
      <c r="BZ63" s="26"/>
      <c r="CA63" s="26">
        <v>49</v>
      </c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7"/>
      <c r="FW63" s="27"/>
      <c r="FX63" s="28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</row>
    <row r="64" spans="1:220" ht="15.75" customHeight="1" x14ac:dyDescent="0.2">
      <c r="A64" s="53">
        <v>43792.574004629627</v>
      </c>
      <c r="B64" s="54">
        <v>605075</v>
      </c>
      <c r="C64" s="54">
        <v>278.07</v>
      </c>
      <c r="D64" s="81" t="s">
        <v>120</v>
      </c>
      <c r="E64" s="32">
        <f t="shared" si="11"/>
        <v>6.9999999999993179E-2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>
        <v>41</v>
      </c>
      <c r="BJ64" s="25"/>
      <c r="BK64" s="25"/>
      <c r="BL64" s="26">
        <v>50</v>
      </c>
      <c r="BM64" s="25"/>
      <c r="BN64" s="25"/>
      <c r="BO64" s="26">
        <v>25</v>
      </c>
      <c r="BP64" s="25"/>
      <c r="BQ64" s="25"/>
      <c r="BR64" s="26">
        <v>51</v>
      </c>
      <c r="BS64" s="25"/>
      <c r="BT64" s="26">
        <v>35</v>
      </c>
      <c r="BU64" s="25"/>
      <c r="BV64" s="25"/>
      <c r="BW64" s="25"/>
      <c r="BX64" s="25"/>
      <c r="BY64" s="25"/>
      <c r="BZ64" s="26">
        <v>20</v>
      </c>
      <c r="CA64" s="25"/>
      <c r="CB64" s="26">
        <v>56</v>
      </c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7"/>
      <c r="FW64" s="27"/>
      <c r="FX64" s="28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</row>
    <row r="65" spans="1:220" ht="15.75" customHeight="1" x14ac:dyDescent="0.2">
      <c r="A65" s="53">
        <v>43792.574004629627</v>
      </c>
      <c r="B65" s="54">
        <v>605075</v>
      </c>
      <c r="C65" s="54">
        <v>314.64999999999998</v>
      </c>
      <c r="D65" s="81" t="s">
        <v>121</v>
      </c>
      <c r="E65" s="32">
        <f t="shared" si="11"/>
        <v>-0.35000000000002274</v>
      </c>
      <c r="F65" s="26"/>
      <c r="G65" s="92"/>
      <c r="H65" s="92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>
        <v>56</v>
      </c>
      <c r="BJ65" s="26">
        <v>45</v>
      </c>
      <c r="BK65" s="26"/>
      <c r="BL65" s="26"/>
      <c r="BM65" s="26">
        <v>36</v>
      </c>
      <c r="BN65" s="26"/>
      <c r="BO65" s="26">
        <v>24</v>
      </c>
      <c r="BP65" s="26">
        <v>20</v>
      </c>
      <c r="BQ65" s="26"/>
      <c r="BR65" s="26"/>
      <c r="BS65" s="26"/>
      <c r="BT65" s="26">
        <v>30</v>
      </c>
      <c r="BU65" s="26"/>
      <c r="BV65" s="26"/>
      <c r="BW65" s="26"/>
      <c r="BX65" s="26"/>
      <c r="BY65" s="26">
        <v>31</v>
      </c>
      <c r="BZ65" s="26"/>
      <c r="CA65" s="26">
        <v>43</v>
      </c>
      <c r="CB65" s="26">
        <v>30</v>
      </c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7"/>
      <c r="FW65" s="27"/>
      <c r="FX65" s="28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</row>
    <row r="66" spans="1:220" ht="15.75" customHeight="1" x14ac:dyDescent="0.2">
      <c r="A66" s="53">
        <v>43792.574004629627</v>
      </c>
      <c r="B66" s="54">
        <v>605075</v>
      </c>
      <c r="C66" s="54">
        <v>280.60000000000002</v>
      </c>
      <c r="D66" s="81" t="s">
        <v>122</v>
      </c>
      <c r="E66" s="32">
        <f t="shared" si="11"/>
        <v>-0.39999999999997726</v>
      </c>
      <c r="F66" s="26"/>
      <c r="G66" s="92"/>
      <c r="H66" s="92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>
        <v>31</v>
      </c>
      <c r="BJ66" s="26">
        <v>50</v>
      </c>
      <c r="BK66" s="26"/>
      <c r="BL66" s="26">
        <v>35</v>
      </c>
      <c r="BM66" s="26"/>
      <c r="BN66" s="26"/>
      <c r="BO66" s="26">
        <v>26</v>
      </c>
      <c r="BP66" s="26"/>
      <c r="BQ66" s="26"/>
      <c r="BR66" s="26"/>
      <c r="BS66" s="26">
        <v>47</v>
      </c>
      <c r="BT66" s="26"/>
      <c r="BU66" s="26"/>
      <c r="BV66" s="26"/>
      <c r="BW66" s="26"/>
      <c r="BX66" s="26">
        <v>26</v>
      </c>
      <c r="BY66" s="25"/>
      <c r="BZ66" s="26">
        <v>35</v>
      </c>
      <c r="CA66" s="25"/>
      <c r="CB66" s="26">
        <v>31</v>
      </c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7"/>
      <c r="FW66" s="27"/>
      <c r="FX66" s="28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</row>
    <row r="67" spans="1:220" ht="15.75" customHeight="1" x14ac:dyDescent="0.2">
      <c r="A67" s="53">
        <v>43792.574004629627</v>
      </c>
      <c r="B67" s="54">
        <v>605075</v>
      </c>
      <c r="C67" s="54">
        <v>273.10000000000002</v>
      </c>
      <c r="D67" s="81" t="s">
        <v>123</v>
      </c>
      <c r="E67" s="32">
        <f t="shared" si="11"/>
        <v>6.0000000000059117E-2</v>
      </c>
      <c r="F67" s="26"/>
      <c r="G67" s="92"/>
      <c r="H67" s="92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>
        <v>90.5</v>
      </c>
      <c r="BJ67" s="26"/>
      <c r="BK67" s="26">
        <v>23</v>
      </c>
      <c r="BL67" s="26"/>
      <c r="BM67" s="26">
        <v>16.54</v>
      </c>
      <c r="BN67" s="26"/>
      <c r="BO67" s="26"/>
      <c r="BP67" s="26">
        <v>43</v>
      </c>
      <c r="BQ67" s="26"/>
      <c r="BR67" s="26"/>
      <c r="BS67" s="26"/>
      <c r="BT67" s="26">
        <v>33</v>
      </c>
      <c r="BU67" s="26"/>
      <c r="BV67" s="26"/>
      <c r="BW67" s="26"/>
      <c r="BX67" s="26"/>
      <c r="BY67" s="26">
        <v>35</v>
      </c>
      <c r="BZ67" s="26"/>
      <c r="CA67" s="26">
        <v>32</v>
      </c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7"/>
      <c r="FW67" s="27"/>
      <c r="FX67" s="28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</row>
    <row r="68" spans="1:220" ht="15.75" customHeight="1" x14ac:dyDescent="0.2">
      <c r="A68" s="53">
        <v>43792.574004629627</v>
      </c>
      <c r="B68" s="54">
        <v>605075</v>
      </c>
      <c r="C68" s="54">
        <v>284.60000000000002</v>
      </c>
      <c r="D68" s="81" t="s">
        <v>124</v>
      </c>
      <c r="E68" s="32">
        <f t="shared" si="11"/>
        <v>0.10000000000002274</v>
      </c>
      <c r="F68" s="26"/>
      <c r="G68" s="92"/>
      <c r="H68" s="92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>
        <v>16.5</v>
      </c>
      <c r="BJ68" s="26">
        <v>42</v>
      </c>
      <c r="BK68" s="26"/>
      <c r="BL68" s="26">
        <v>36</v>
      </c>
      <c r="BM68" s="26"/>
      <c r="BN68" s="26"/>
      <c r="BO68" s="26"/>
      <c r="BP68" s="26">
        <v>47</v>
      </c>
      <c r="BQ68" s="26"/>
      <c r="BR68" s="26"/>
      <c r="BS68" s="26"/>
      <c r="BT68" s="26">
        <v>51</v>
      </c>
      <c r="BU68" s="26"/>
      <c r="BV68" s="26"/>
      <c r="BW68" s="26"/>
      <c r="BX68" s="26">
        <v>32</v>
      </c>
      <c r="BY68" s="25"/>
      <c r="BZ68" s="26">
        <v>25</v>
      </c>
      <c r="CA68" s="25"/>
      <c r="CB68" s="26">
        <v>35</v>
      </c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7"/>
      <c r="FW68" s="27"/>
      <c r="FX68" s="28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</row>
    <row r="69" spans="1:220" ht="15.75" customHeight="1" x14ac:dyDescent="0.2">
      <c r="A69" s="53">
        <v>43792.574004629627</v>
      </c>
      <c r="B69" s="54">
        <v>605075</v>
      </c>
      <c r="C69" s="54">
        <v>269.89999999999998</v>
      </c>
      <c r="D69" s="81" t="s">
        <v>125</v>
      </c>
      <c r="E69" s="32">
        <f t="shared" si="11"/>
        <v>-0.10000000000002274</v>
      </c>
      <c r="F69" s="26"/>
      <c r="G69" s="92"/>
      <c r="H69" s="92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>
        <v>45</v>
      </c>
      <c r="BJ69" s="26">
        <v>28</v>
      </c>
      <c r="BK69" s="26"/>
      <c r="BL69" s="26">
        <v>20</v>
      </c>
      <c r="BM69" s="26"/>
      <c r="BN69" s="26"/>
      <c r="BO69" s="26">
        <v>39</v>
      </c>
      <c r="BP69" s="26"/>
      <c r="BQ69" s="26"/>
      <c r="BR69" s="26">
        <v>34</v>
      </c>
      <c r="BS69" s="26"/>
      <c r="BT69" s="26">
        <v>53</v>
      </c>
      <c r="BU69" s="26"/>
      <c r="BV69" s="26"/>
      <c r="BW69" s="26"/>
      <c r="BX69" s="26"/>
      <c r="BY69" s="26">
        <v>21</v>
      </c>
      <c r="BZ69" s="26"/>
      <c r="CA69" s="26">
        <v>30</v>
      </c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7"/>
      <c r="FW69" s="27"/>
      <c r="FX69" s="28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</row>
    <row r="70" spans="1:220" ht="15.75" customHeight="1" x14ac:dyDescent="0.2">
      <c r="A70" s="53">
        <v>43792.574004629627</v>
      </c>
      <c r="B70" s="54">
        <v>605075</v>
      </c>
      <c r="C70" s="54">
        <v>354.2</v>
      </c>
      <c r="D70" s="81" t="s">
        <v>126</v>
      </c>
      <c r="E70" s="32">
        <f t="shared" si="11"/>
        <v>0.19999999999998863</v>
      </c>
      <c r="F70" s="26"/>
      <c r="G70" s="92"/>
      <c r="H70" s="92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>
        <v>69</v>
      </c>
      <c r="BJ70" s="26"/>
      <c r="BK70" s="26">
        <v>56</v>
      </c>
      <c r="BL70" s="26"/>
      <c r="BM70" s="26"/>
      <c r="BN70" s="26">
        <v>20</v>
      </c>
      <c r="BO70" s="26"/>
      <c r="BP70" s="26">
        <v>22</v>
      </c>
      <c r="BQ70" s="26"/>
      <c r="BR70" s="26"/>
      <c r="BS70" s="26">
        <v>31</v>
      </c>
      <c r="BT70" s="26">
        <v>33</v>
      </c>
      <c r="BU70" s="26"/>
      <c r="BV70" s="26"/>
      <c r="BW70" s="26"/>
      <c r="BX70" s="26"/>
      <c r="BY70" s="26">
        <v>38</v>
      </c>
      <c r="BZ70" s="26"/>
      <c r="CA70" s="26">
        <v>30</v>
      </c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6">
        <v>55</v>
      </c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7"/>
      <c r="FW70" s="27"/>
      <c r="FX70" s="28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</row>
    <row r="71" spans="1:220" ht="15.75" customHeight="1" x14ac:dyDescent="0.2">
      <c r="A71" s="53">
        <v>43792.574004629627</v>
      </c>
      <c r="B71" s="54">
        <v>605075</v>
      </c>
      <c r="C71" s="54">
        <v>349.04</v>
      </c>
      <c r="D71" s="81" t="s">
        <v>127</v>
      </c>
      <c r="E71" s="32">
        <f t="shared" si="11"/>
        <v>4.0000000000020464E-2</v>
      </c>
      <c r="F71" s="26"/>
      <c r="G71" s="92"/>
      <c r="H71" s="92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>
        <v>55</v>
      </c>
      <c r="BJ71" s="26">
        <v>31</v>
      </c>
      <c r="BK71" s="26"/>
      <c r="BL71" s="26"/>
      <c r="BM71" s="26">
        <v>33</v>
      </c>
      <c r="BN71" s="26"/>
      <c r="BO71" s="26"/>
      <c r="BP71" s="26">
        <v>40</v>
      </c>
      <c r="BQ71" s="26"/>
      <c r="BR71" s="26"/>
      <c r="BS71" s="26"/>
      <c r="BT71" s="26">
        <v>50</v>
      </c>
      <c r="BU71" s="26"/>
      <c r="BV71" s="26"/>
      <c r="BW71" s="26"/>
      <c r="BX71" s="26"/>
      <c r="BY71" s="26">
        <v>42</v>
      </c>
      <c r="BZ71" s="26"/>
      <c r="CA71" s="26">
        <v>35</v>
      </c>
      <c r="CB71" s="26"/>
      <c r="CC71" s="26"/>
      <c r="CD71" s="26"/>
      <c r="CE71" s="26"/>
      <c r="CF71" s="26"/>
      <c r="CG71" s="26"/>
      <c r="CH71" s="26"/>
      <c r="CI71" s="26"/>
      <c r="CJ71" s="26">
        <v>63</v>
      </c>
      <c r="CK71" s="25"/>
      <c r="CL71" s="25"/>
      <c r="CM71" s="25"/>
      <c r="CN71" s="25"/>
      <c r="CO71" s="25"/>
      <c r="CP71" s="25"/>
      <c r="CQ71" s="25"/>
      <c r="CR71" s="25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7"/>
      <c r="FW71" s="27"/>
      <c r="FX71" s="28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</row>
    <row r="72" spans="1:220" ht="15.75" customHeight="1" x14ac:dyDescent="0.2">
      <c r="A72" s="53">
        <v>43792.574004629627</v>
      </c>
      <c r="B72" s="54">
        <v>605075</v>
      </c>
      <c r="C72" s="54">
        <v>275.5</v>
      </c>
      <c r="D72" s="81" t="s">
        <v>128</v>
      </c>
      <c r="E72" s="32">
        <f t="shared" si="11"/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>
        <v>12.5</v>
      </c>
      <c r="BJ72" s="26">
        <v>52</v>
      </c>
      <c r="BK72" s="25"/>
      <c r="BL72" s="26">
        <v>33</v>
      </c>
      <c r="BM72" s="25"/>
      <c r="BN72" s="25"/>
      <c r="BO72" s="26">
        <v>35</v>
      </c>
      <c r="BP72" s="25"/>
      <c r="BQ72" s="25"/>
      <c r="BR72" s="26">
        <v>39</v>
      </c>
      <c r="BS72" s="25"/>
      <c r="BT72" s="26">
        <v>38</v>
      </c>
      <c r="BU72" s="25"/>
      <c r="BV72" s="25"/>
      <c r="BW72" s="25"/>
      <c r="BX72" s="25"/>
      <c r="BY72" s="25"/>
      <c r="BZ72" s="26">
        <v>30</v>
      </c>
      <c r="CA72" s="25"/>
      <c r="CB72" s="26">
        <v>36</v>
      </c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7"/>
      <c r="FW72" s="27"/>
      <c r="FX72" s="28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</row>
    <row r="73" spans="1:220" ht="15.75" customHeight="1" x14ac:dyDescent="0.2">
      <c r="A73" s="53">
        <v>43792.574004629627</v>
      </c>
      <c r="B73" s="54">
        <v>605075</v>
      </c>
      <c r="C73" s="54">
        <v>263.8</v>
      </c>
      <c r="D73" s="81" t="s">
        <v>129</v>
      </c>
      <c r="E73" s="32">
        <f t="shared" si="11"/>
        <v>0</v>
      </c>
      <c r="F73" s="26"/>
      <c r="G73" s="92"/>
      <c r="H73" s="92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>
        <v>51.8</v>
      </c>
      <c r="BJ73" s="26">
        <v>41</v>
      </c>
      <c r="BK73" s="26"/>
      <c r="BL73" s="26"/>
      <c r="BM73" s="26">
        <v>27</v>
      </c>
      <c r="BN73" s="26"/>
      <c r="BO73" s="26"/>
      <c r="BP73" s="26">
        <v>42</v>
      </c>
      <c r="BQ73" s="26"/>
      <c r="BR73" s="26"/>
      <c r="BS73" s="26"/>
      <c r="BT73" s="26">
        <v>29</v>
      </c>
      <c r="BU73" s="26"/>
      <c r="BV73" s="26"/>
      <c r="BW73" s="26"/>
      <c r="BX73" s="26"/>
      <c r="BY73" s="26">
        <v>33</v>
      </c>
      <c r="BZ73" s="26"/>
      <c r="CA73" s="26">
        <v>40</v>
      </c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7"/>
      <c r="FW73" s="27"/>
      <c r="FX73" s="28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</row>
    <row r="74" spans="1:220" ht="15.75" customHeight="1" x14ac:dyDescent="0.2">
      <c r="A74" s="53">
        <v>43792.574004629627</v>
      </c>
      <c r="B74" s="54">
        <v>605075</v>
      </c>
      <c r="C74" s="54">
        <v>266.89999999999998</v>
      </c>
      <c r="D74" s="81" t="s">
        <v>130</v>
      </c>
      <c r="E74" s="32">
        <f t="shared" si="11"/>
        <v>0</v>
      </c>
      <c r="F74" s="26"/>
      <c r="G74" s="92"/>
      <c r="H74" s="92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>
        <v>55.9</v>
      </c>
      <c r="BJ74" s="26">
        <v>30</v>
      </c>
      <c r="BK74" s="26"/>
      <c r="BL74" s="26"/>
      <c r="BM74" s="26">
        <v>31</v>
      </c>
      <c r="BN74" s="26"/>
      <c r="BO74" s="26"/>
      <c r="BP74" s="26">
        <v>53</v>
      </c>
      <c r="BQ74" s="26"/>
      <c r="BR74" s="26"/>
      <c r="BS74" s="26"/>
      <c r="BT74" s="26">
        <v>36</v>
      </c>
      <c r="BU74" s="26"/>
      <c r="BV74" s="26"/>
      <c r="BW74" s="26"/>
      <c r="BX74" s="26"/>
      <c r="BY74" s="26"/>
      <c r="BZ74" s="26">
        <v>23</v>
      </c>
      <c r="CA74" s="25"/>
      <c r="CB74" s="26">
        <v>38</v>
      </c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7"/>
      <c r="FW74" s="27"/>
      <c r="FX74" s="28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</row>
    <row r="75" spans="1:220" ht="15.75" customHeight="1" x14ac:dyDescent="0.2">
      <c r="A75" s="53">
        <v>43792.574004629627</v>
      </c>
      <c r="B75" s="54">
        <v>605075</v>
      </c>
      <c r="C75" s="54">
        <v>276.7</v>
      </c>
      <c r="D75" s="81" t="s">
        <v>131</v>
      </c>
      <c r="E75" s="32">
        <f t="shared" si="11"/>
        <v>9.9999999999965894E-2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>
        <v>29.6</v>
      </c>
      <c r="BJ75" s="26"/>
      <c r="BK75" s="26"/>
      <c r="BL75" s="26">
        <v>58</v>
      </c>
      <c r="BM75" s="26"/>
      <c r="BN75" s="26"/>
      <c r="BO75" s="26">
        <v>38</v>
      </c>
      <c r="BP75" s="26"/>
      <c r="BQ75" s="26"/>
      <c r="BR75" s="26"/>
      <c r="BS75" s="26">
        <v>51</v>
      </c>
      <c r="BT75" s="26">
        <v>49</v>
      </c>
      <c r="BU75" s="25"/>
      <c r="BV75" s="25"/>
      <c r="BW75" s="25"/>
      <c r="BX75" s="25"/>
      <c r="BY75" s="25"/>
      <c r="BZ75" s="26">
        <v>20</v>
      </c>
      <c r="CA75" s="25"/>
      <c r="CB75" s="26">
        <v>31</v>
      </c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7"/>
      <c r="FW75" s="27"/>
      <c r="FX75" s="28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</row>
    <row r="76" spans="1:220" ht="15.75" customHeight="1" x14ac:dyDescent="0.2">
      <c r="A76" s="53">
        <v>43792.574004629627</v>
      </c>
      <c r="B76" s="54">
        <v>605075</v>
      </c>
      <c r="C76" s="54">
        <v>262.60000000000002</v>
      </c>
      <c r="D76" s="81" t="s">
        <v>132</v>
      </c>
      <c r="E76" s="32">
        <f t="shared" si="11"/>
        <v>0</v>
      </c>
      <c r="F76" s="26"/>
      <c r="G76" s="92"/>
      <c r="H76" s="92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>
        <v>63.6</v>
      </c>
      <c r="BJ76" s="26">
        <v>8</v>
      </c>
      <c r="BK76" s="26"/>
      <c r="BL76" s="26"/>
      <c r="BM76" s="26">
        <v>29</v>
      </c>
      <c r="BN76" s="26"/>
      <c r="BO76" s="26"/>
      <c r="BP76" s="26">
        <v>52</v>
      </c>
      <c r="BQ76" s="26"/>
      <c r="BR76" s="26"/>
      <c r="BS76" s="26">
        <v>39</v>
      </c>
      <c r="BT76" s="25"/>
      <c r="BU76" s="26"/>
      <c r="BV76" s="26"/>
      <c r="BW76" s="26"/>
      <c r="BX76" s="26"/>
      <c r="BY76" s="26">
        <v>30</v>
      </c>
      <c r="BZ76" s="26"/>
      <c r="CA76" s="26">
        <v>41</v>
      </c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7"/>
      <c r="FW76" s="27"/>
      <c r="FX76" s="28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</row>
    <row r="77" spans="1:220" ht="15.75" customHeight="1" x14ac:dyDescent="0.2">
      <c r="A77" s="53">
        <v>43792.574004629627</v>
      </c>
      <c r="B77" s="54">
        <v>605075</v>
      </c>
      <c r="C77" s="54">
        <v>284.7</v>
      </c>
      <c r="D77" s="81" t="s">
        <v>133</v>
      </c>
      <c r="E77" s="32">
        <f t="shared" si="11"/>
        <v>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>
        <v>57.7</v>
      </c>
      <c r="BJ77" s="26"/>
      <c r="BK77" s="26">
        <v>24</v>
      </c>
      <c r="BL77" s="25"/>
      <c r="BM77" s="25"/>
      <c r="BN77" s="25"/>
      <c r="BO77" s="26">
        <v>35</v>
      </c>
      <c r="BP77" s="25"/>
      <c r="BQ77" s="25"/>
      <c r="BR77" s="26">
        <v>25</v>
      </c>
      <c r="BS77" s="25"/>
      <c r="BT77" s="26">
        <v>52</v>
      </c>
      <c r="BU77" s="25"/>
      <c r="BV77" s="25"/>
      <c r="BW77" s="25"/>
      <c r="BX77" s="25"/>
      <c r="BY77" s="25"/>
      <c r="BZ77" s="25"/>
      <c r="CA77" s="26">
        <v>41</v>
      </c>
      <c r="CB77" s="26">
        <v>50</v>
      </c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7"/>
      <c r="FW77" s="27"/>
      <c r="FX77" s="28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</row>
    <row r="78" spans="1:220" ht="15.75" customHeight="1" x14ac:dyDescent="0.2">
      <c r="A78" s="53">
        <v>43792.574004629627</v>
      </c>
      <c r="B78" s="54">
        <v>605075</v>
      </c>
      <c r="C78" s="54">
        <v>277.39999999999998</v>
      </c>
      <c r="D78" s="85" t="s">
        <v>134</v>
      </c>
      <c r="E78" s="32">
        <f t="shared" si="11"/>
        <v>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>
        <v>9.4</v>
      </c>
      <c r="BJ78" s="26">
        <v>52</v>
      </c>
      <c r="BK78" s="26"/>
      <c r="BL78" s="26"/>
      <c r="BM78" s="26">
        <v>37</v>
      </c>
      <c r="BN78" s="26"/>
      <c r="BO78" s="26"/>
      <c r="BP78" s="26">
        <v>39</v>
      </c>
      <c r="BQ78" s="25"/>
      <c r="BR78" s="25"/>
      <c r="BS78" s="25"/>
      <c r="BT78" s="26">
        <v>56</v>
      </c>
      <c r="BU78" s="25"/>
      <c r="BV78" s="25"/>
      <c r="BW78" s="25"/>
      <c r="BX78" s="25"/>
      <c r="BY78" s="25"/>
      <c r="BZ78" s="26">
        <v>34</v>
      </c>
      <c r="CA78" s="25"/>
      <c r="CB78" s="26">
        <v>50</v>
      </c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7"/>
      <c r="FW78" s="27"/>
      <c r="FX78" s="28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</row>
    <row r="79" spans="1:220" ht="15.75" customHeight="1" x14ac:dyDescent="0.2">
      <c r="A79" s="53">
        <v>43789.236979166664</v>
      </c>
      <c r="B79" s="54">
        <v>604596</v>
      </c>
      <c r="C79" s="54">
        <v>340.1</v>
      </c>
      <c r="D79" s="81" t="s">
        <v>135</v>
      </c>
      <c r="E79" s="32">
        <f t="shared" si="11"/>
        <v>0</v>
      </c>
      <c r="F79" s="26"/>
      <c r="G79" s="92"/>
      <c r="H79" s="92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>
        <v>31.1</v>
      </c>
      <c r="CU79" s="26">
        <v>43</v>
      </c>
      <c r="CV79" s="26">
        <v>37</v>
      </c>
      <c r="CW79" s="26">
        <v>0</v>
      </c>
      <c r="CX79" s="26">
        <v>35</v>
      </c>
      <c r="CY79" s="26"/>
      <c r="CZ79" s="26"/>
      <c r="DA79" s="26"/>
      <c r="DB79" s="26"/>
      <c r="DC79" s="26"/>
      <c r="DD79" s="26">
        <v>54</v>
      </c>
      <c r="DE79" s="26">
        <v>25</v>
      </c>
      <c r="DF79" s="26"/>
      <c r="DG79" s="26">
        <v>52</v>
      </c>
      <c r="DH79" s="26"/>
      <c r="DI79" s="26">
        <v>63</v>
      </c>
      <c r="DJ79" s="26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7"/>
      <c r="FW79" s="27"/>
      <c r="FX79" s="28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</row>
    <row r="80" spans="1:220" ht="15.75" customHeight="1" x14ac:dyDescent="0.2">
      <c r="A80" s="53">
        <v>43789.236979166664</v>
      </c>
      <c r="B80" s="54">
        <v>604596</v>
      </c>
      <c r="C80" s="54">
        <v>368.8</v>
      </c>
      <c r="D80" s="81" t="s">
        <v>136</v>
      </c>
      <c r="E80" s="32">
        <f t="shared" si="11"/>
        <v>0</v>
      </c>
      <c r="F80" s="26"/>
      <c r="G80" s="92"/>
      <c r="H80" s="92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>
        <v>42.8</v>
      </c>
      <c r="CW80" s="26"/>
      <c r="CX80" s="26"/>
      <c r="CY80" s="26"/>
      <c r="CZ80" s="26"/>
      <c r="DA80" s="26"/>
      <c r="DB80" s="26">
        <v>51</v>
      </c>
      <c r="DC80" s="26"/>
      <c r="DD80" s="26"/>
      <c r="DE80" s="26">
        <v>75</v>
      </c>
      <c r="DF80" s="26"/>
      <c r="DG80" s="26"/>
      <c r="DH80" s="26"/>
      <c r="DI80" s="26"/>
      <c r="DJ80" s="26">
        <v>200</v>
      </c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7"/>
      <c r="FW80" s="27"/>
      <c r="FX80" s="28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</row>
    <row r="81" spans="1:220" ht="15.75" customHeight="1" x14ac:dyDescent="0.2">
      <c r="A81" s="53">
        <v>43789.236979166664</v>
      </c>
      <c r="B81" s="54">
        <v>604596</v>
      </c>
      <c r="C81" s="54">
        <v>353.8</v>
      </c>
      <c r="D81" s="81" t="s">
        <v>137</v>
      </c>
      <c r="E81" s="32">
        <f t="shared" si="11"/>
        <v>0</v>
      </c>
      <c r="F81" s="26"/>
      <c r="G81" s="92"/>
      <c r="H81" s="92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>
        <v>18.8</v>
      </c>
      <c r="CV81" s="26"/>
      <c r="CW81" s="26">
        <v>54</v>
      </c>
      <c r="CX81" s="26"/>
      <c r="CY81" s="26"/>
      <c r="CZ81" s="26"/>
      <c r="DA81" s="26"/>
      <c r="DB81" s="26">
        <v>57</v>
      </c>
      <c r="DC81" s="26"/>
      <c r="DD81" s="26"/>
      <c r="DE81" s="26">
        <v>62</v>
      </c>
      <c r="DF81" s="26"/>
      <c r="DG81" s="26">
        <v>64</v>
      </c>
      <c r="DH81" s="26"/>
      <c r="DI81" s="26">
        <v>98</v>
      </c>
      <c r="DJ81" s="26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7"/>
      <c r="FW81" s="27"/>
      <c r="FX81" s="28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</row>
    <row r="82" spans="1:220" ht="15.75" customHeight="1" x14ac:dyDescent="0.2">
      <c r="A82" s="53">
        <v>43789.236979166664</v>
      </c>
      <c r="B82" s="54">
        <v>604596</v>
      </c>
      <c r="C82" s="54">
        <v>378.2</v>
      </c>
      <c r="D82" s="81" t="s">
        <v>138</v>
      </c>
      <c r="E82" s="32">
        <f t="shared" si="11"/>
        <v>0</v>
      </c>
      <c r="F82" s="26"/>
      <c r="G82" s="92"/>
      <c r="H82" s="92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>
        <v>47.2</v>
      </c>
      <c r="CV82" s="26">
        <v>45</v>
      </c>
      <c r="CW82" s="26"/>
      <c r="CX82" s="26">
        <v>48</v>
      </c>
      <c r="CY82" s="26"/>
      <c r="CZ82" s="26"/>
      <c r="DA82" s="26"/>
      <c r="DB82" s="26"/>
      <c r="DC82" s="26"/>
      <c r="DD82" s="26">
        <v>66</v>
      </c>
      <c r="DE82" s="26">
        <v>55</v>
      </c>
      <c r="DF82" s="26"/>
      <c r="DG82" s="26">
        <v>66</v>
      </c>
      <c r="DH82" s="26"/>
      <c r="DI82" s="26"/>
      <c r="DJ82" s="26">
        <v>51</v>
      </c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7"/>
      <c r="FW82" s="27"/>
      <c r="FX82" s="28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</row>
    <row r="83" spans="1:220" ht="15.75" customHeight="1" x14ac:dyDescent="0.2">
      <c r="A83" s="53">
        <v>43789.236979166664</v>
      </c>
      <c r="B83" s="54">
        <v>604596</v>
      </c>
      <c r="C83" s="54">
        <v>367.2</v>
      </c>
      <c r="D83" s="81" t="s">
        <v>139</v>
      </c>
      <c r="E83" s="32">
        <f t="shared" si="11"/>
        <v>0</v>
      </c>
      <c r="F83" s="26"/>
      <c r="G83" s="92"/>
      <c r="H83" s="92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>
        <v>32.200000000000003</v>
      </c>
      <c r="CV83" s="26">
        <v>35</v>
      </c>
      <c r="CW83" s="26"/>
      <c r="CX83" s="26"/>
      <c r="CY83" s="26"/>
      <c r="CZ83" s="26"/>
      <c r="DA83" s="26"/>
      <c r="DB83" s="26">
        <v>59</v>
      </c>
      <c r="DC83" s="26"/>
      <c r="DD83" s="26">
        <v>61</v>
      </c>
      <c r="DE83" s="26"/>
      <c r="DF83" s="26"/>
      <c r="DG83" s="26">
        <v>60</v>
      </c>
      <c r="DH83" s="26"/>
      <c r="DI83" s="26"/>
      <c r="DJ83" s="26">
        <v>120</v>
      </c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7"/>
      <c r="FW83" s="27"/>
      <c r="FX83" s="28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</row>
    <row r="84" spans="1:220" ht="15.75" customHeight="1" x14ac:dyDescent="0.2">
      <c r="A84" s="53">
        <v>43789.236979166664</v>
      </c>
      <c r="B84" s="54">
        <v>604596</v>
      </c>
      <c r="C84" s="54">
        <v>366.2</v>
      </c>
      <c r="D84" s="81" t="s">
        <v>140</v>
      </c>
      <c r="E84" s="32">
        <f t="shared" si="11"/>
        <v>0</v>
      </c>
      <c r="F84" s="26"/>
      <c r="G84" s="92"/>
      <c r="H84" s="92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>
        <v>90.2</v>
      </c>
      <c r="CV84" s="26"/>
      <c r="CW84" s="26"/>
      <c r="CX84" s="26">
        <v>33</v>
      </c>
      <c r="CY84" s="26"/>
      <c r="CZ84" s="26"/>
      <c r="DA84" s="26"/>
      <c r="DB84" s="26"/>
      <c r="DC84" s="26"/>
      <c r="DD84" s="26">
        <v>68</v>
      </c>
      <c r="DE84" s="26">
        <v>53</v>
      </c>
      <c r="DF84" s="26"/>
      <c r="DG84" s="26">
        <v>67</v>
      </c>
      <c r="DH84" s="26"/>
      <c r="DI84" s="26">
        <v>55</v>
      </c>
      <c r="DJ84" s="26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7"/>
      <c r="FW84" s="27"/>
      <c r="FX84" s="28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</row>
    <row r="85" spans="1:220" ht="15.75" customHeight="1" x14ac:dyDescent="0.2">
      <c r="A85" s="53">
        <v>43789.236979166664</v>
      </c>
      <c r="B85" s="54">
        <v>604596</v>
      </c>
      <c r="C85" s="54">
        <v>526.29999999999995</v>
      </c>
      <c r="D85" s="81" t="s">
        <v>141</v>
      </c>
      <c r="E85" s="32">
        <f t="shared" si="11"/>
        <v>0</v>
      </c>
      <c r="F85" s="26"/>
      <c r="G85" s="92"/>
      <c r="H85" s="92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>
        <v>21.1</v>
      </c>
      <c r="CU85" s="26">
        <v>6.2</v>
      </c>
      <c r="CV85" s="26">
        <v>57</v>
      </c>
      <c r="CW85" s="26"/>
      <c r="CX85" s="26"/>
      <c r="CY85" s="26">
        <v>53</v>
      </c>
      <c r="CZ85" s="26"/>
      <c r="DA85" s="26"/>
      <c r="DB85" s="26"/>
      <c r="DC85" s="26"/>
      <c r="DD85" s="26">
        <v>30</v>
      </c>
      <c r="DE85" s="26">
        <v>52</v>
      </c>
      <c r="DF85" s="26"/>
      <c r="DG85" s="26"/>
      <c r="DH85" s="26">
        <v>250</v>
      </c>
      <c r="DI85" s="26"/>
      <c r="DJ85" s="26">
        <v>57</v>
      </c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7"/>
      <c r="FW85" s="27"/>
      <c r="FX85" s="28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</row>
    <row r="86" spans="1:220" ht="15.75" customHeight="1" x14ac:dyDescent="0.2">
      <c r="A86" s="53">
        <v>43789.236979166664</v>
      </c>
      <c r="B86" s="54">
        <v>604596</v>
      </c>
      <c r="C86" s="54">
        <v>428.8</v>
      </c>
      <c r="D86" s="81" t="s">
        <v>142</v>
      </c>
      <c r="E86" s="32">
        <f t="shared" si="11"/>
        <v>0</v>
      </c>
      <c r="F86" s="26"/>
      <c r="G86" s="92"/>
      <c r="H86" s="92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>
        <v>48.8</v>
      </c>
      <c r="CU86" s="26">
        <v>40</v>
      </c>
      <c r="CV86" s="26"/>
      <c r="CW86" s="26"/>
      <c r="CX86" s="26">
        <v>40</v>
      </c>
      <c r="CY86" s="26"/>
      <c r="CZ86" s="26"/>
      <c r="DA86" s="26"/>
      <c r="DB86" s="26">
        <v>55</v>
      </c>
      <c r="DC86" s="26"/>
      <c r="DD86" s="26">
        <v>75</v>
      </c>
      <c r="DE86" s="26">
        <v>40</v>
      </c>
      <c r="DF86" s="26"/>
      <c r="DG86" s="26">
        <v>63</v>
      </c>
      <c r="DH86" s="26"/>
      <c r="DI86" s="26"/>
      <c r="DJ86" s="26">
        <v>67</v>
      </c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7"/>
      <c r="FW86" s="27"/>
      <c r="FX86" s="28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</row>
    <row r="87" spans="1:220" ht="15.75" customHeight="1" x14ac:dyDescent="0.2">
      <c r="A87" s="56">
        <v>43789.232187499998</v>
      </c>
      <c r="B87" s="54">
        <v>604595</v>
      </c>
      <c r="C87" s="54">
        <v>298.2</v>
      </c>
      <c r="D87" s="81" t="s">
        <v>143</v>
      </c>
      <c r="E87" s="32">
        <f t="shared" si="11"/>
        <v>0</v>
      </c>
      <c r="F87" s="26"/>
      <c r="G87" s="92"/>
      <c r="H87" s="92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>
        <v>31.2</v>
      </c>
      <c r="CU87" s="26"/>
      <c r="CV87" s="26"/>
      <c r="CW87" s="26">
        <v>55</v>
      </c>
      <c r="CX87" s="26"/>
      <c r="CY87" s="26"/>
      <c r="CZ87" s="26"/>
      <c r="DA87" s="26"/>
      <c r="DB87" s="26"/>
      <c r="DC87" s="26">
        <v>98</v>
      </c>
      <c r="DD87" s="26">
        <v>34</v>
      </c>
      <c r="DE87" s="26"/>
      <c r="DF87" s="26"/>
      <c r="DG87" s="26">
        <v>56</v>
      </c>
      <c r="DH87" s="26"/>
      <c r="DI87" s="26">
        <v>24</v>
      </c>
      <c r="DJ87" s="26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7"/>
      <c r="FW87" s="27"/>
      <c r="FX87" s="28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</row>
    <row r="88" spans="1:220" ht="15.75" customHeight="1" x14ac:dyDescent="0.2">
      <c r="A88" s="56">
        <v>43789.232187499998</v>
      </c>
      <c r="B88" s="54">
        <v>604595</v>
      </c>
      <c r="C88" s="54">
        <v>349.7</v>
      </c>
      <c r="D88" s="81" t="s">
        <v>144</v>
      </c>
      <c r="E88" s="32">
        <f t="shared" si="11"/>
        <v>0</v>
      </c>
      <c r="F88" s="26"/>
      <c r="G88" s="92"/>
      <c r="H88" s="92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>
        <v>42.7</v>
      </c>
      <c r="CU88" s="26">
        <v>45</v>
      </c>
      <c r="CV88" s="26"/>
      <c r="CW88" s="26"/>
      <c r="CX88" s="26">
        <v>36</v>
      </c>
      <c r="CY88" s="26"/>
      <c r="CZ88" s="26"/>
      <c r="DA88" s="26"/>
      <c r="DB88" s="26"/>
      <c r="DC88" s="26"/>
      <c r="DD88" s="26">
        <v>52</v>
      </c>
      <c r="DE88" s="26">
        <v>50</v>
      </c>
      <c r="DF88" s="26"/>
      <c r="DG88" s="26">
        <v>68</v>
      </c>
      <c r="DH88" s="26"/>
      <c r="DI88" s="26">
        <v>56</v>
      </c>
      <c r="DJ88" s="26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7"/>
      <c r="FW88" s="27"/>
      <c r="FX88" s="28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</row>
    <row r="89" spans="1:220" ht="15.75" customHeight="1" x14ac:dyDescent="0.2">
      <c r="A89" s="56">
        <v>43789.232187499998</v>
      </c>
      <c r="B89" s="54">
        <v>604595</v>
      </c>
      <c r="C89" s="54">
        <v>333.8</v>
      </c>
      <c r="D89" s="81" t="s">
        <v>145</v>
      </c>
      <c r="E89" s="32">
        <f t="shared" si="11"/>
        <v>-89.420000000000016</v>
      </c>
      <c r="F89" s="26"/>
      <c r="G89" s="92"/>
      <c r="H89" s="92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168">
        <v>52.22</v>
      </c>
      <c r="CU89" s="168">
        <v>35</v>
      </c>
      <c r="CV89" s="26"/>
      <c r="CW89" s="26"/>
      <c r="CX89" s="168">
        <v>98</v>
      </c>
      <c r="CY89" s="26"/>
      <c r="CZ89" s="26"/>
      <c r="DA89" s="26"/>
      <c r="DB89" s="26">
        <v>54</v>
      </c>
      <c r="DC89" s="26"/>
      <c r="DD89" s="26">
        <v>50</v>
      </c>
      <c r="DE89" s="26">
        <v>66</v>
      </c>
      <c r="DF89" s="26"/>
      <c r="DG89" s="26"/>
      <c r="DH89" s="26"/>
      <c r="DI89" s="26">
        <v>68</v>
      </c>
      <c r="DJ89" s="26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7"/>
      <c r="FW89" s="27"/>
      <c r="FX89" s="28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</row>
    <row r="90" spans="1:220" ht="15.75" customHeight="1" x14ac:dyDescent="0.2">
      <c r="A90" s="56">
        <v>43789.232187499998</v>
      </c>
      <c r="B90" s="54">
        <v>604595</v>
      </c>
      <c r="C90" s="54">
        <v>364.5</v>
      </c>
      <c r="D90" s="81" t="s">
        <v>146</v>
      </c>
      <c r="E90" s="32">
        <f t="shared" si="11"/>
        <v>89.5</v>
      </c>
      <c r="F90" s="26"/>
      <c r="G90" s="92"/>
      <c r="H90" s="92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169"/>
      <c r="CU90" s="169"/>
      <c r="CV90" s="26"/>
      <c r="CW90" s="26"/>
      <c r="CX90" s="169"/>
      <c r="CY90" s="26"/>
      <c r="CZ90" s="26"/>
      <c r="DA90" s="26"/>
      <c r="DB90" s="26"/>
      <c r="DC90" s="26">
        <v>58</v>
      </c>
      <c r="DD90" s="26">
        <v>55</v>
      </c>
      <c r="DE90" s="26"/>
      <c r="DF90" s="26"/>
      <c r="DG90" s="26">
        <v>62</v>
      </c>
      <c r="DH90" s="26"/>
      <c r="DI90" s="26">
        <v>100</v>
      </c>
      <c r="DJ90" s="26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7"/>
      <c r="FW90" s="27"/>
      <c r="FX90" s="28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</row>
    <row r="91" spans="1:220" ht="15.75" customHeight="1" x14ac:dyDescent="0.2">
      <c r="A91" s="56">
        <v>43789.232187499998</v>
      </c>
      <c r="B91" s="54">
        <v>604595</v>
      </c>
      <c r="C91" s="54">
        <v>339.3</v>
      </c>
      <c r="D91" s="81" t="s">
        <v>147</v>
      </c>
      <c r="E91" s="32">
        <f t="shared" si="11"/>
        <v>0</v>
      </c>
      <c r="F91" s="26"/>
      <c r="G91" s="92"/>
      <c r="H91" s="92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>
        <v>45.3</v>
      </c>
      <c r="CV91" s="26">
        <v>36</v>
      </c>
      <c r="CW91" s="26"/>
      <c r="CX91" s="26"/>
      <c r="CY91" s="26">
        <v>51</v>
      </c>
      <c r="CZ91" s="26"/>
      <c r="DA91" s="26"/>
      <c r="DB91" s="26"/>
      <c r="DC91" s="26"/>
      <c r="DD91" s="26">
        <v>71</v>
      </c>
      <c r="DE91" s="26">
        <v>51</v>
      </c>
      <c r="DF91" s="26"/>
      <c r="DG91" s="26">
        <v>36</v>
      </c>
      <c r="DH91" s="26"/>
      <c r="DI91" s="26">
        <v>49</v>
      </c>
      <c r="DJ91" s="26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7"/>
      <c r="FW91" s="27"/>
      <c r="FX91" s="28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</row>
    <row r="92" spans="1:220" ht="15.75" customHeight="1" x14ac:dyDescent="0.2">
      <c r="A92" s="56">
        <v>43789.232187499998</v>
      </c>
      <c r="B92" s="54">
        <v>604595</v>
      </c>
      <c r="C92" s="54">
        <v>315.8</v>
      </c>
      <c r="D92" s="81" t="s">
        <v>148</v>
      </c>
      <c r="E92" s="32">
        <f t="shared" si="11"/>
        <v>0</v>
      </c>
      <c r="F92" s="26"/>
      <c r="G92" s="92"/>
      <c r="H92" s="92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>
        <v>25.8</v>
      </c>
      <c r="CU92" s="26"/>
      <c r="CV92" s="26"/>
      <c r="CW92" s="26">
        <v>56</v>
      </c>
      <c r="CX92" s="26"/>
      <c r="CY92" s="26"/>
      <c r="CZ92" s="26"/>
      <c r="DA92" s="26"/>
      <c r="DB92" s="26">
        <v>56</v>
      </c>
      <c r="DC92" s="26"/>
      <c r="DD92" s="26">
        <v>56</v>
      </c>
      <c r="DE92" s="26">
        <v>64</v>
      </c>
      <c r="DF92" s="26"/>
      <c r="DG92" s="26"/>
      <c r="DH92" s="26"/>
      <c r="DI92" s="26">
        <v>58</v>
      </c>
      <c r="DJ92" s="26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7"/>
      <c r="FW92" s="27"/>
      <c r="FX92" s="28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</row>
    <row r="93" spans="1:220" ht="15.75" customHeight="1" x14ac:dyDescent="0.2">
      <c r="A93" s="57">
        <v>43785.145694444444</v>
      </c>
      <c r="B93" s="26">
        <v>603996</v>
      </c>
      <c r="C93" s="26">
        <v>365.2</v>
      </c>
      <c r="D93" s="86" t="s">
        <v>149</v>
      </c>
      <c r="E93" s="32">
        <f t="shared" si="11"/>
        <v>9.9999999999909051E-3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6">
        <v>116.19</v>
      </c>
      <c r="DK93" s="26">
        <v>56</v>
      </c>
      <c r="DL93" s="26">
        <f>62+65</f>
        <v>127</v>
      </c>
      <c r="DM93" s="26">
        <v>66</v>
      </c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7"/>
      <c r="FW93" s="27"/>
      <c r="FX93" s="28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</row>
    <row r="94" spans="1:220" ht="15.75" customHeight="1" x14ac:dyDescent="0.2">
      <c r="A94" s="57">
        <v>43785.145694444444</v>
      </c>
      <c r="B94" s="26">
        <v>603996</v>
      </c>
      <c r="C94" s="26">
        <v>364.7</v>
      </c>
      <c r="D94" s="86" t="s">
        <v>150</v>
      </c>
      <c r="E94" s="32">
        <f t="shared" si="11"/>
        <v>-4.0000000000020464E-2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6">
        <f>57+33.74</f>
        <v>90.740000000000009</v>
      </c>
      <c r="DK94" s="26">
        <f>42+55</f>
        <v>97</v>
      </c>
      <c r="DL94" s="26">
        <f>50+61</f>
        <v>111</v>
      </c>
      <c r="DM94" s="26">
        <v>66</v>
      </c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7"/>
      <c r="FW94" s="27"/>
      <c r="FX94" s="28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</row>
    <row r="95" spans="1:220" ht="15.75" customHeight="1" x14ac:dyDescent="0.2">
      <c r="A95" s="57">
        <v>43785.145694444444</v>
      </c>
      <c r="B95" s="26">
        <v>603996</v>
      </c>
      <c r="C95" s="26">
        <v>668.2</v>
      </c>
      <c r="D95" s="86" t="s">
        <v>151</v>
      </c>
      <c r="E95" s="32">
        <f t="shared" si="11"/>
        <v>3.5000000000081855E-2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6">
        <f>66+51+148.165</f>
        <v>265.16499999999996</v>
      </c>
      <c r="DK95" s="26">
        <f>45+57</f>
        <v>102</v>
      </c>
      <c r="DL95" s="26">
        <f>60+31+61+62</f>
        <v>214</v>
      </c>
      <c r="DM95" s="26">
        <f>30+57</f>
        <v>87</v>
      </c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7"/>
      <c r="FW95" s="27"/>
      <c r="FX95" s="28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</row>
    <row r="96" spans="1:220" ht="15.75" customHeight="1" x14ac:dyDescent="0.2">
      <c r="A96" s="57">
        <v>43785.145694444444</v>
      </c>
      <c r="B96" s="26">
        <v>603996</v>
      </c>
      <c r="C96" s="26">
        <v>380.2</v>
      </c>
      <c r="D96" s="86" t="s">
        <v>152</v>
      </c>
      <c r="E96" s="32">
        <f t="shared" si="11"/>
        <v>1.999999999998181E-2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6">
        <f>68+38.18</f>
        <v>106.18</v>
      </c>
      <c r="DK96" s="26">
        <v>51</v>
      </c>
      <c r="DL96" s="26">
        <f>89+65</f>
        <v>154</v>
      </c>
      <c r="DM96" s="26">
        <v>69</v>
      </c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7"/>
      <c r="FW96" s="27"/>
      <c r="FX96" s="28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</row>
    <row r="97" spans="1:220" ht="15.75" customHeight="1" x14ac:dyDescent="0.2">
      <c r="A97" s="57">
        <v>43785.143993055557</v>
      </c>
      <c r="B97" s="26">
        <v>603995</v>
      </c>
      <c r="C97" s="26">
        <v>356.5</v>
      </c>
      <c r="D97" s="86" t="s">
        <v>153</v>
      </c>
      <c r="E97" s="32">
        <f t="shared" si="11"/>
        <v>0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6">
        <v>114.5</v>
      </c>
      <c r="DK97" s="26">
        <v>57</v>
      </c>
      <c r="DL97" s="26">
        <f>60+67</f>
        <v>127</v>
      </c>
      <c r="DM97" s="26">
        <v>58</v>
      </c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7"/>
      <c r="FW97" s="27"/>
      <c r="FX97" s="28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</row>
    <row r="98" spans="1:220" ht="15.75" customHeight="1" x14ac:dyDescent="0.2">
      <c r="A98" s="57">
        <v>43785.143993055557</v>
      </c>
      <c r="B98" s="26">
        <v>603995</v>
      </c>
      <c r="C98" s="26">
        <v>395.3</v>
      </c>
      <c r="D98" s="86" t="s">
        <v>154</v>
      </c>
      <c r="E98" s="32">
        <f t="shared" si="11"/>
        <v>3.0000000000029559E-2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6">
        <v>98.27</v>
      </c>
      <c r="DL98" s="26">
        <f>200+37</f>
        <v>237</v>
      </c>
      <c r="DM98" s="26">
        <v>60</v>
      </c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7"/>
      <c r="FW98" s="27"/>
      <c r="FX98" s="28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</row>
    <row r="99" spans="1:220" ht="15.75" customHeight="1" x14ac:dyDescent="0.2">
      <c r="A99" s="57">
        <v>43785.143993055557</v>
      </c>
      <c r="B99" s="26">
        <v>603995</v>
      </c>
      <c r="C99" s="26">
        <v>380.24</v>
      </c>
      <c r="D99" s="86" t="s">
        <v>155</v>
      </c>
      <c r="E99" s="32">
        <f t="shared" si="11"/>
        <v>4.0000000000020464E-2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6">
        <v>130.19999999999999</v>
      </c>
      <c r="DK99" s="26">
        <v>54</v>
      </c>
      <c r="DL99" s="26">
        <f>55+29+46</f>
        <v>130</v>
      </c>
      <c r="DM99" s="26">
        <v>66</v>
      </c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7"/>
      <c r="FW99" s="27"/>
      <c r="FX99" s="28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</row>
    <row r="100" spans="1:220" ht="15.75" customHeight="1" x14ac:dyDescent="0.2">
      <c r="A100" s="57">
        <v>43785.143993055557</v>
      </c>
      <c r="B100" s="26">
        <v>603995</v>
      </c>
      <c r="C100" s="26">
        <v>431</v>
      </c>
      <c r="D100" s="86" t="s">
        <v>156</v>
      </c>
      <c r="E100" s="32">
        <f t="shared" si="1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6">
        <v>100</v>
      </c>
      <c r="DK100" s="26">
        <f>44+40</f>
        <v>84</v>
      </c>
      <c r="DL100" s="26">
        <f>65+66</f>
        <v>131</v>
      </c>
      <c r="DM100" s="26">
        <f>66+50</f>
        <v>116</v>
      </c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7"/>
      <c r="FW100" s="27"/>
      <c r="FX100" s="28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</row>
    <row r="101" spans="1:220" ht="15.75" customHeight="1" x14ac:dyDescent="0.2">
      <c r="A101" s="57">
        <v>43785.143993055557</v>
      </c>
      <c r="B101" s="26">
        <v>603995</v>
      </c>
      <c r="C101" s="26">
        <v>367</v>
      </c>
      <c r="D101" s="86" t="s">
        <v>157</v>
      </c>
      <c r="E101" s="32">
        <f t="shared" si="1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6">
        <v>107</v>
      </c>
      <c r="DK101" s="26">
        <f>40+50</f>
        <v>90</v>
      </c>
      <c r="DL101" s="26">
        <f>54+51</f>
        <v>105</v>
      </c>
      <c r="DM101" s="26">
        <v>65</v>
      </c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7"/>
      <c r="FW101" s="27"/>
      <c r="FX101" s="28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</row>
    <row r="102" spans="1:220" ht="15.75" customHeight="1" x14ac:dyDescent="0.2">
      <c r="A102" s="57">
        <v>43785.143993055557</v>
      </c>
      <c r="B102" s="26">
        <v>603995</v>
      </c>
      <c r="C102" s="26">
        <v>367.8</v>
      </c>
      <c r="D102" s="86" t="s">
        <v>158</v>
      </c>
      <c r="E102" s="32">
        <f t="shared" si="11"/>
        <v>0.10000000000002274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6">
        <v>23.7</v>
      </c>
      <c r="DK102" s="25"/>
      <c r="DL102" s="26">
        <f>52+62+180</f>
        <v>294</v>
      </c>
      <c r="DM102" s="26">
        <v>50</v>
      </c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7"/>
      <c r="FW102" s="27"/>
      <c r="FX102" s="28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</row>
    <row r="103" spans="1:220" ht="15.75" customHeight="1" x14ac:dyDescent="0.2">
      <c r="A103" s="57">
        <v>43785.143993055557</v>
      </c>
      <c r="B103" s="26">
        <v>603995</v>
      </c>
      <c r="C103" s="26">
        <v>356.8</v>
      </c>
      <c r="D103" s="86" t="s">
        <v>159</v>
      </c>
      <c r="E103" s="32">
        <f t="shared" si="11"/>
        <v>-4.0000000000020464E-2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6">
        <f>69+30.84</f>
        <v>99.84</v>
      </c>
      <c r="DK103" s="26">
        <v>53</v>
      </c>
      <c r="DL103" s="26">
        <v>137</v>
      </c>
      <c r="DM103" s="26">
        <v>67</v>
      </c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7"/>
      <c r="FW103" s="27"/>
      <c r="FX103" s="28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</row>
    <row r="104" spans="1:220" ht="15.75" customHeight="1" x14ac:dyDescent="0.2">
      <c r="A104" s="57">
        <v>43785.143993055557</v>
      </c>
      <c r="B104" s="26">
        <v>603995</v>
      </c>
      <c r="C104" s="26">
        <v>381</v>
      </c>
      <c r="D104" s="86" t="s">
        <v>160</v>
      </c>
      <c r="E104" s="32">
        <f t="shared" si="11"/>
        <v>1.999999999998181E-2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6">
        <v>141.97999999999999</v>
      </c>
      <c r="DL104" s="26">
        <f>53+68+58</f>
        <v>179</v>
      </c>
      <c r="DM104" s="26">
        <v>60</v>
      </c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7"/>
      <c r="FW104" s="27"/>
      <c r="FX104" s="28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</row>
    <row r="105" spans="1:220" ht="15.75" customHeight="1" x14ac:dyDescent="0.2">
      <c r="A105" s="57">
        <v>43785.140543981484</v>
      </c>
      <c r="B105" s="26">
        <v>603994</v>
      </c>
      <c r="C105" s="26">
        <v>359.1</v>
      </c>
      <c r="D105" s="86" t="s">
        <v>161</v>
      </c>
      <c r="E105" s="32">
        <f t="shared" si="11"/>
        <v>-4.9999999999954525E-2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6">
        <v>110.15</v>
      </c>
      <c r="DK105" s="26">
        <v>115</v>
      </c>
      <c r="DL105" s="26">
        <v>79</v>
      </c>
      <c r="DM105" s="26">
        <v>55</v>
      </c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7"/>
      <c r="FW105" s="27"/>
      <c r="FX105" s="28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</row>
    <row r="106" spans="1:220" ht="15.75" customHeight="1" x14ac:dyDescent="0.2">
      <c r="A106" s="57">
        <v>43785.140543981484</v>
      </c>
      <c r="B106" s="26">
        <v>603994</v>
      </c>
      <c r="C106" s="26">
        <v>417.5</v>
      </c>
      <c r="D106" s="86" t="s">
        <v>162</v>
      </c>
      <c r="E106" s="32">
        <f t="shared" si="11"/>
        <v>0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6">
        <v>92.5</v>
      </c>
      <c r="DK106" s="26">
        <v>39</v>
      </c>
      <c r="DL106" s="26">
        <f>54+64+59+50</f>
        <v>227</v>
      </c>
      <c r="DM106" s="26">
        <v>59</v>
      </c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7"/>
      <c r="FW106" s="27"/>
      <c r="FX106" s="28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</row>
    <row r="107" spans="1:220" ht="15.75" customHeight="1" x14ac:dyDescent="0.2">
      <c r="A107" s="57">
        <v>43785.140543981484</v>
      </c>
      <c r="B107" s="26">
        <v>603994</v>
      </c>
      <c r="C107" s="26">
        <v>370.2</v>
      </c>
      <c r="D107" s="86" t="s">
        <v>163</v>
      </c>
      <c r="E107" s="32">
        <f t="shared" si="11"/>
        <v>9.9999999999909051E-3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5"/>
      <c r="DD107" s="25"/>
      <c r="DE107" s="25"/>
      <c r="DF107" s="25"/>
      <c r="DG107" s="25"/>
      <c r="DH107" s="25"/>
      <c r="DI107" s="25"/>
      <c r="DJ107" s="26">
        <v>77.19</v>
      </c>
      <c r="DK107" s="26">
        <f>64+62</f>
        <v>126</v>
      </c>
      <c r="DL107" s="26">
        <f>51+55</f>
        <v>106</v>
      </c>
      <c r="DM107" s="26">
        <v>61</v>
      </c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7"/>
      <c r="FW107" s="27"/>
      <c r="FX107" s="28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</row>
    <row r="108" spans="1:220" ht="15.75" customHeight="1" x14ac:dyDescent="0.2">
      <c r="A108" s="57">
        <v>43782.823240740741</v>
      </c>
      <c r="B108" s="26">
        <v>603616</v>
      </c>
      <c r="C108" s="26">
        <v>343</v>
      </c>
      <c r="D108" s="86" t="s">
        <v>164</v>
      </c>
      <c r="E108" s="32">
        <f t="shared" si="11"/>
        <v>-1.999999999998181E-2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6">
        <v>56.02</v>
      </c>
      <c r="DN108" s="26">
        <f>32+34</f>
        <v>66</v>
      </c>
      <c r="DO108" s="26">
        <v>53</v>
      </c>
      <c r="DP108" s="26">
        <v>54</v>
      </c>
      <c r="DQ108" s="26">
        <f>53+61</f>
        <v>114</v>
      </c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7"/>
      <c r="FW108" s="27"/>
      <c r="FX108" s="28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</row>
    <row r="109" spans="1:220" ht="15.75" customHeight="1" x14ac:dyDescent="0.2">
      <c r="A109" s="57">
        <v>43782.823240740741</v>
      </c>
      <c r="B109" s="26">
        <v>603616</v>
      </c>
      <c r="C109" s="26">
        <v>301.10000000000002</v>
      </c>
      <c r="D109" s="86" t="s">
        <v>165</v>
      </c>
      <c r="E109" s="32">
        <f t="shared" si="11"/>
        <v>0.10000000000002274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6">
        <f>45+15</f>
        <v>60</v>
      </c>
      <c r="DN109" s="26">
        <v>42</v>
      </c>
      <c r="DO109" s="26">
        <f>52+65</f>
        <v>117</v>
      </c>
      <c r="DP109" s="25"/>
      <c r="DQ109" s="26">
        <f>31+51</f>
        <v>82</v>
      </c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7"/>
      <c r="FW109" s="27"/>
      <c r="FX109" s="28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</row>
    <row r="110" spans="1:220" ht="15.75" customHeight="1" x14ac:dyDescent="0.2">
      <c r="A110" s="57">
        <v>43782.823240740741</v>
      </c>
      <c r="B110" s="26">
        <v>603616</v>
      </c>
      <c r="C110" s="26">
        <v>297.51100000000002</v>
      </c>
      <c r="D110" s="86" t="s">
        <v>166</v>
      </c>
      <c r="E110" s="32">
        <f t="shared" si="11"/>
        <v>1.1000000000024102E-2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6">
        <v>180.5</v>
      </c>
      <c r="DO110" s="25"/>
      <c r="DP110" s="25"/>
      <c r="DQ110" s="26">
        <f>62+55</f>
        <v>117</v>
      </c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7"/>
      <c r="FW110" s="27"/>
      <c r="FX110" s="28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</row>
    <row r="111" spans="1:220" ht="15.75" customHeight="1" x14ac:dyDescent="0.2">
      <c r="A111" s="57">
        <v>43782.823240740741</v>
      </c>
      <c r="B111" s="26">
        <v>603616</v>
      </c>
      <c r="C111" s="26">
        <v>286.60000000000002</v>
      </c>
      <c r="D111" s="86" t="s">
        <v>167</v>
      </c>
      <c r="E111" s="32">
        <f t="shared" si="11"/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6">
        <v>39.6</v>
      </c>
      <c r="DM111" s="26">
        <f>11+19+34+58</f>
        <v>122</v>
      </c>
      <c r="DN111" s="25"/>
      <c r="DO111" s="26">
        <f>30+15</f>
        <v>45</v>
      </c>
      <c r="DP111" s="25"/>
      <c r="DQ111" s="26">
        <f>30+50</f>
        <v>80</v>
      </c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7"/>
      <c r="FW111" s="27"/>
      <c r="FX111" s="28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</row>
    <row r="112" spans="1:220" ht="15.75" customHeight="1" x14ac:dyDescent="0.2">
      <c r="A112" s="57">
        <v>43782.823240740741</v>
      </c>
      <c r="B112" s="26">
        <v>603616</v>
      </c>
      <c r="C112" s="26">
        <v>300.3</v>
      </c>
      <c r="D112" s="86" t="s">
        <v>168</v>
      </c>
      <c r="E112" s="32">
        <f t="shared" si="11"/>
        <v>-2.9999999999972715E-2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6">
        <v>30.33</v>
      </c>
      <c r="DN112" s="26">
        <v>39</v>
      </c>
      <c r="DO112" s="26">
        <f>64+51</f>
        <v>115</v>
      </c>
      <c r="DP112" s="26">
        <f>64+52</f>
        <v>116</v>
      </c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7"/>
      <c r="FW112" s="27"/>
      <c r="FX112" s="28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</row>
    <row r="113" spans="1:220" ht="15.75" customHeight="1" x14ac:dyDescent="0.2">
      <c r="A113" s="57">
        <v>43782.823240740741</v>
      </c>
      <c r="B113" s="26">
        <v>603616</v>
      </c>
      <c r="C113" s="26">
        <v>326.58</v>
      </c>
      <c r="D113" s="86" t="s">
        <v>169</v>
      </c>
      <c r="E113" s="32">
        <f t="shared" si="11"/>
        <v>-2.0000000000038654E-2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6"/>
      <c r="DN113" s="26">
        <v>84.6</v>
      </c>
      <c r="DO113" s="26"/>
      <c r="DP113" s="26">
        <f>55+69</f>
        <v>124</v>
      </c>
      <c r="DQ113" s="26">
        <f>52+66</f>
        <v>118</v>
      </c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7"/>
      <c r="FW113" s="27"/>
      <c r="FX113" s="28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</row>
    <row r="114" spans="1:220" ht="15.75" customHeight="1" x14ac:dyDescent="0.2">
      <c r="A114" s="57">
        <v>43782.823240740741</v>
      </c>
      <c r="B114" s="26">
        <v>603616</v>
      </c>
      <c r="C114" s="26">
        <v>281.27999999999997</v>
      </c>
      <c r="D114" s="86" t="s">
        <v>170</v>
      </c>
      <c r="E114" s="32">
        <f t="shared" si="11"/>
        <v>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6"/>
      <c r="DN114" s="26">
        <v>96.28</v>
      </c>
      <c r="DO114" s="26">
        <f>51+52</f>
        <v>103</v>
      </c>
      <c r="DP114" s="25"/>
      <c r="DQ114" s="26">
        <f>52+30</f>
        <v>82</v>
      </c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7"/>
      <c r="FW114" s="27"/>
      <c r="FX114" s="28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</row>
    <row r="115" spans="1:220" ht="15.75" customHeight="1" x14ac:dyDescent="0.2">
      <c r="A115" s="57">
        <v>43782.823240740741</v>
      </c>
      <c r="B115" s="26">
        <v>603616</v>
      </c>
      <c r="C115" s="26">
        <v>302.33999999999997</v>
      </c>
      <c r="D115" s="86" t="s">
        <v>171</v>
      </c>
      <c r="E115" s="32">
        <f t="shared" si="11"/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6"/>
      <c r="DN115" s="26">
        <v>118.34</v>
      </c>
      <c r="DO115" s="26">
        <v>67</v>
      </c>
      <c r="DP115" s="25"/>
      <c r="DQ115" s="26">
        <f>55+62</f>
        <v>117</v>
      </c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7"/>
      <c r="FW115" s="27"/>
      <c r="FX115" s="28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</row>
    <row r="116" spans="1:220" ht="15.75" customHeight="1" x14ac:dyDescent="0.2">
      <c r="A116" s="57">
        <v>43782.823240740741</v>
      </c>
      <c r="B116" s="26">
        <v>603616</v>
      </c>
      <c r="C116" s="26">
        <v>359.62</v>
      </c>
      <c r="D116" s="86" t="s">
        <v>172</v>
      </c>
      <c r="E116" s="32">
        <f t="shared" si="11"/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6"/>
      <c r="DN116" s="26">
        <v>87.62</v>
      </c>
      <c r="DO116" s="26">
        <v>55</v>
      </c>
      <c r="DP116" s="25"/>
      <c r="DQ116" s="26">
        <f>54+63</f>
        <v>117</v>
      </c>
      <c r="DR116" s="26">
        <v>100</v>
      </c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7"/>
      <c r="FW116" s="27"/>
      <c r="FX116" s="28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</row>
    <row r="117" spans="1:220" ht="15.75" customHeight="1" x14ac:dyDescent="0.2">
      <c r="A117" s="57">
        <v>43782.823240740741</v>
      </c>
      <c r="B117" s="26">
        <v>603616</v>
      </c>
      <c r="C117" s="26">
        <v>282.5</v>
      </c>
      <c r="D117" s="86" t="s">
        <v>173</v>
      </c>
      <c r="E117" s="32">
        <f t="shared" si="11"/>
        <v>-5.0000000000011369E-2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6">
        <v>11.55</v>
      </c>
      <c r="DN117" s="26">
        <v>56</v>
      </c>
      <c r="DO117" s="26">
        <f>68+66</f>
        <v>134</v>
      </c>
      <c r="DP117" s="25"/>
      <c r="DQ117" s="26">
        <f>20+61</f>
        <v>81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7"/>
      <c r="FW117" s="27"/>
      <c r="FX117" s="28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</row>
    <row r="118" spans="1:220" ht="15.75" customHeight="1" x14ac:dyDescent="0.2">
      <c r="A118" s="57">
        <v>43782.823240740741</v>
      </c>
      <c r="B118" s="26">
        <v>603616</v>
      </c>
      <c r="C118" s="26">
        <v>268</v>
      </c>
      <c r="D118" s="86" t="s">
        <v>178</v>
      </c>
      <c r="E118" s="32">
        <f t="shared" si="11"/>
        <v>-3.999999999996362E-2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6">
        <v>39.04</v>
      </c>
      <c r="DN118" s="26">
        <v>73</v>
      </c>
      <c r="DO118" s="26">
        <v>71</v>
      </c>
      <c r="DP118" s="25"/>
      <c r="DQ118" s="26">
        <v>85</v>
      </c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7"/>
      <c r="FW118" s="27"/>
      <c r="FX118" s="28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</row>
    <row r="119" spans="1:220" ht="15.75" customHeight="1" x14ac:dyDescent="0.2">
      <c r="A119" s="57">
        <v>43782.823240740741</v>
      </c>
      <c r="B119" s="26">
        <v>603616</v>
      </c>
      <c r="C119" s="26">
        <v>300.86</v>
      </c>
      <c r="D119" s="86" t="s">
        <v>180</v>
      </c>
      <c r="E119" s="32">
        <f t="shared" si="11"/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6">
        <v>115.86</v>
      </c>
      <c r="DO119" s="26">
        <v>72</v>
      </c>
      <c r="DP119" s="25"/>
      <c r="DQ119" s="26">
        <f>63+50</f>
        <v>113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7"/>
      <c r="FW119" s="27"/>
      <c r="FX119" s="28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</row>
    <row r="120" spans="1:220" ht="15.75" customHeight="1" x14ac:dyDescent="0.2">
      <c r="A120" s="57">
        <v>43782.823240740741</v>
      </c>
      <c r="B120" s="26">
        <v>603616</v>
      </c>
      <c r="C120" s="26">
        <v>286.08</v>
      </c>
      <c r="D120" s="86" t="s">
        <v>181</v>
      </c>
      <c r="E120" s="32">
        <f t="shared" si="11"/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6"/>
      <c r="DN120" s="26">
        <v>111.08</v>
      </c>
      <c r="DO120" s="26">
        <f>56+52</f>
        <v>108</v>
      </c>
      <c r="DP120" s="25"/>
      <c r="DQ120" s="26">
        <f>14+53</f>
        <v>67</v>
      </c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7"/>
      <c r="FW120" s="27"/>
      <c r="FX120" s="28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</row>
    <row r="121" spans="1:220" ht="15.75" customHeight="1" x14ac:dyDescent="0.2">
      <c r="A121" s="57">
        <v>43782.823240740741</v>
      </c>
      <c r="B121" s="26">
        <v>603616</v>
      </c>
      <c r="C121" s="26">
        <v>342.5</v>
      </c>
      <c r="D121" s="86" t="s">
        <v>182</v>
      </c>
      <c r="E121" s="32">
        <f t="shared" si="11"/>
        <v>5.0000000000011369E-2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6">
        <v>85.45</v>
      </c>
      <c r="DN121" s="26">
        <v>32</v>
      </c>
      <c r="DO121" s="26">
        <f>66+5</f>
        <v>71</v>
      </c>
      <c r="DP121" s="25"/>
      <c r="DQ121" s="26">
        <f>31+58+65</f>
        <v>154</v>
      </c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7"/>
      <c r="FW121" s="27"/>
      <c r="FX121" s="28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</row>
    <row r="122" spans="1:220" ht="15.75" customHeight="1" x14ac:dyDescent="0.2">
      <c r="A122" s="57">
        <v>43782.823240740741</v>
      </c>
      <c r="B122" s="26">
        <v>603616</v>
      </c>
      <c r="C122" s="26">
        <v>368.3</v>
      </c>
      <c r="D122" s="86" t="s">
        <v>183</v>
      </c>
      <c r="E122" s="32">
        <f t="shared" si="11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6">
        <v>3.3</v>
      </c>
      <c r="DN122" s="26">
        <v>54</v>
      </c>
      <c r="DO122" s="26">
        <v>54</v>
      </c>
      <c r="DP122" s="25"/>
      <c r="DQ122" s="26">
        <v>67</v>
      </c>
      <c r="DR122" s="26">
        <v>190</v>
      </c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7"/>
      <c r="FW122" s="27"/>
      <c r="FX122" s="28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</row>
    <row r="123" spans="1:220" ht="15.75" customHeight="1" x14ac:dyDescent="0.2">
      <c r="A123" s="57">
        <v>43782.823240740741</v>
      </c>
      <c r="B123" s="26">
        <v>603616</v>
      </c>
      <c r="C123" s="26">
        <v>253.1</v>
      </c>
      <c r="D123" s="86" t="s">
        <v>185</v>
      </c>
      <c r="E123" s="32">
        <f t="shared" si="11"/>
        <v>6.0000000000002274E-2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6">
        <v>54.04</v>
      </c>
      <c r="DN123" s="26">
        <v>41</v>
      </c>
      <c r="DO123" s="25"/>
      <c r="DP123" s="26">
        <v>52</v>
      </c>
      <c r="DQ123" s="26">
        <f>51+55</f>
        <v>106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7"/>
      <c r="FW123" s="27"/>
      <c r="FX123" s="28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</row>
    <row r="124" spans="1:220" ht="15.75" customHeight="1" x14ac:dyDescent="0.2">
      <c r="A124" s="57">
        <v>43782.823240740741</v>
      </c>
      <c r="B124" s="26">
        <v>603616</v>
      </c>
      <c r="C124" s="26">
        <v>296.14999999999998</v>
      </c>
      <c r="D124" s="86" t="s">
        <v>186</v>
      </c>
      <c r="E124" s="32">
        <f t="shared" si="11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6">
        <v>75.150000000000006</v>
      </c>
      <c r="DO124" s="25"/>
      <c r="DP124" s="26">
        <v>31</v>
      </c>
      <c r="DQ124" s="26">
        <f>66+51+73</f>
        <v>190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7"/>
      <c r="FW124" s="27"/>
      <c r="FX124" s="28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</row>
    <row r="125" spans="1:220" ht="15.75" customHeight="1" x14ac:dyDescent="0.2">
      <c r="A125" s="57">
        <v>43782.823240740741</v>
      </c>
      <c r="B125" s="26">
        <v>603616</v>
      </c>
      <c r="C125" s="26">
        <v>306.64</v>
      </c>
      <c r="D125" s="86" t="s">
        <v>187</v>
      </c>
      <c r="E125" s="32">
        <f t="shared" ref="E125:E188" si="12">C125-SUM(AN125:HK125)</f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6">
        <v>69.64</v>
      </c>
      <c r="DO125" s="26">
        <f>62+68</f>
        <v>130</v>
      </c>
      <c r="DP125" s="25"/>
      <c r="DQ125" s="26">
        <f>51+56</f>
        <v>107</v>
      </c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7"/>
      <c r="FW125" s="27"/>
      <c r="FX125" s="28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</row>
    <row r="126" spans="1:220" ht="15.75" customHeight="1" x14ac:dyDescent="0.2">
      <c r="A126" s="57">
        <v>43782.823240740741</v>
      </c>
      <c r="B126" s="26">
        <v>603616</v>
      </c>
      <c r="C126" s="26">
        <v>340.3</v>
      </c>
      <c r="D126" s="86" t="s">
        <v>188</v>
      </c>
      <c r="E126" s="32">
        <f t="shared" si="12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6">
        <f>53+37+39.3</f>
        <v>129.30000000000001</v>
      </c>
      <c r="DO126" s="26">
        <f>54+57+50+50</f>
        <v>211</v>
      </c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7"/>
      <c r="FW126" s="27"/>
      <c r="FX126" s="28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</row>
    <row r="127" spans="1:220" ht="15.75" customHeight="1" x14ac:dyDescent="0.2">
      <c r="A127" s="57">
        <v>43782.823240740741</v>
      </c>
      <c r="B127" s="26">
        <v>603616</v>
      </c>
      <c r="C127" s="26">
        <v>251.38</v>
      </c>
      <c r="D127" s="86" t="s">
        <v>189</v>
      </c>
      <c r="E127" s="32">
        <f t="shared" si="12"/>
        <v>0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6">
        <v>49.38</v>
      </c>
      <c r="DN127" s="26">
        <v>41</v>
      </c>
      <c r="DO127" s="26">
        <v>56</v>
      </c>
      <c r="DP127" s="25"/>
      <c r="DQ127" s="26">
        <v>105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7"/>
      <c r="FW127" s="27"/>
      <c r="FX127" s="28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</row>
    <row r="128" spans="1:220" ht="15.75" customHeight="1" x14ac:dyDescent="0.2">
      <c r="A128" s="57">
        <v>43782.380011574074</v>
      </c>
      <c r="B128" s="26">
        <v>603555</v>
      </c>
      <c r="C128" s="26">
        <v>289.7</v>
      </c>
      <c r="D128" s="86" t="s">
        <v>190</v>
      </c>
      <c r="E128" s="32">
        <f t="shared" si="12"/>
        <v>4.0000000000020464E-2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6">
        <f>65+56+43.14-6.48</f>
        <v>157.66</v>
      </c>
      <c r="DS128" s="26">
        <f>73+59</f>
        <v>132</v>
      </c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7"/>
      <c r="FW128" s="27"/>
      <c r="FX128" s="28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</row>
    <row r="129" spans="1:220" ht="15.75" customHeight="1" x14ac:dyDescent="0.2">
      <c r="A129" s="57">
        <v>43782.380011574074</v>
      </c>
      <c r="B129" s="26">
        <v>603555</v>
      </c>
      <c r="C129" s="26">
        <v>331.2</v>
      </c>
      <c r="D129" s="86" t="s">
        <v>191</v>
      </c>
      <c r="E129" s="32">
        <f t="shared" si="12"/>
        <v>0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6">
        <f>54+41+62+58.2</f>
        <v>215.2</v>
      </c>
      <c r="DS129" s="26">
        <f>65+51</f>
        <v>116</v>
      </c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7"/>
      <c r="FW129" s="27"/>
      <c r="FX129" s="28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</row>
    <row r="130" spans="1:220" ht="15.75" customHeight="1" x14ac:dyDescent="0.2">
      <c r="A130" s="57">
        <v>43782.380011574074</v>
      </c>
      <c r="B130" s="26">
        <v>603555</v>
      </c>
      <c r="C130" s="26">
        <v>330.5</v>
      </c>
      <c r="D130" s="86" t="s">
        <v>192</v>
      </c>
      <c r="E130" s="32">
        <f t="shared" si="12"/>
        <v>0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6">
        <f>199+6.5</f>
        <v>205.5</v>
      </c>
      <c r="DS130" s="26">
        <f>61+64</f>
        <v>125</v>
      </c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7"/>
      <c r="FW130" s="27"/>
      <c r="FX130" s="28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</row>
    <row r="131" spans="1:220" ht="15.75" customHeight="1" x14ac:dyDescent="0.2">
      <c r="A131" s="57">
        <v>43782.380011574074</v>
      </c>
      <c r="B131" s="26">
        <v>603555</v>
      </c>
      <c r="C131" s="26">
        <v>336.4</v>
      </c>
      <c r="D131" s="86" t="s">
        <v>193</v>
      </c>
      <c r="E131" s="32">
        <f t="shared" si="12"/>
        <v>0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6">
        <f>31+53+58+23.4</f>
        <v>165.4</v>
      </c>
      <c r="DS131" s="26">
        <f>61+52+58</f>
        <v>171</v>
      </c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7"/>
      <c r="FW131" s="27"/>
      <c r="FX131" s="28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</row>
    <row r="132" spans="1:220" ht="15.75" customHeight="1" x14ac:dyDescent="0.2">
      <c r="A132" s="57">
        <v>43782.380011574074</v>
      </c>
      <c r="B132" s="26">
        <v>603555</v>
      </c>
      <c r="C132" s="26">
        <v>330.8</v>
      </c>
      <c r="D132" s="86" t="s">
        <v>194</v>
      </c>
      <c r="E132" s="32">
        <f t="shared" si="12"/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6">
        <f>62+42+67+28.8</f>
        <v>199.8</v>
      </c>
      <c r="DS132" s="26">
        <f>63+68</f>
        <v>131</v>
      </c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7"/>
      <c r="FW132" s="27"/>
      <c r="FX132" s="28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</row>
    <row r="133" spans="1:220" ht="15.75" customHeight="1" x14ac:dyDescent="0.2">
      <c r="A133" s="57">
        <v>43782.380011574074</v>
      </c>
      <c r="B133" s="26">
        <v>603555</v>
      </c>
      <c r="C133" s="26">
        <v>355.1</v>
      </c>
      <c r="D133" s="86" t="s">
        <v>195</v>
      </c>
      <c r="E133" s="32">
        <f t="shared" si="12"/>
        <v>0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6">
        <f>64+20+68+37.1</f>
        <v>189.1</v>
      </c>
      <c r="DS133" s="26">
        <f>62+53+51</f>
        <v>166</v>
      </c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7"/>
      <c r="FW133" s="27"/>
      <c r="FX133" s="28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</row>
    <row r="134" spans="1:220" ht="15.75" customHeight="1" x14ac:dyDescent="0.2">
      <c r="A134" s="57">
        <v>43782.380011574074</v>
      </c>
      <c r="B134" s="26">
        <v>603555</v>
      </c>
      <c r="C134" s="26">
        <v>337.8</v>
      </c>
      <c r="D134" s="86" t="s">
        <v>196</v>
      </c>
      <c r="E134" s="32">
        <f t="shared" si="12"/>
        <v>0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6">
        <f>62+54+65.8</f>
        <v>181.8</v>
      </c>
      <c r="DS134" s="26">
        <f>100+56</f>
        <v>156</v>
      </c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7"/>
      <c r="FW134" s="27"/>
      <c r="FX134" s="28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</row>
    <row r="135" spans="1:220" ht="15.75" customHeight="1" x14ac:dyDescent="0.2">
      <c r="A135" s="57">
        <v>43782.380011574074</v>
      </c>
      <c r="B135" s="26">
        <v>603555</v>
      </c>
      <c r="C135" s="26">
        <v>289.60000000000002</v>
      </c>
      <c r="D135" s="86" t="s">
        <v>197</v>
      </c>
      <c r="E135" s="32">
        <f t="shared" si="12"/>
        <v>9.9999999999909051E-3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6">
        <v>33.590000000000003</v>
      </c>
      <c r="DP135" s="25"/>
      <c r="DQ135" s="25"/>
      <c r="DR135" s="26">
        <f>9+53+67</f>
        <v>129</v>
      </c>
      <c r="DS135" s="26">
        <f>71+56</f>
        <v>127</v>
      </c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7"/>
      <c r="FW135" s="27"/>
      <c r="FX135" s="28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</row>
    <row r="136" spans="1:220" ht="15.75" customHeight="1" x14ac:dyDescent="0.2">
      <c r="A136" s="57">
        <v>43782.380011574074</v>
      </c>
      <c r="B136" s="26">
        <v>603555</v>
      </c>
      <c r="C136" s="26">
        <v>284.39999999999998</v>
      </c>
      <c r="D136" s="86" t="s">
        <v>198</v>
      </c>
      <c r="E136" s="32">
        <f t="shared" si="12"/>
        <v>1.999999999998181E-2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6">
        <v>20.38</v>
      </c>
      <c r="DP136" s="25"/>
      <c r="DQ136" s="25"/>
      <c r="DR136" s="26">
        <f>56+46+59</f>
        <v>161</v>
      </c>
      <c r="DS136" s="26">
        <f>63+40</f>
        <v>103</v>
      </c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7"/>
      <c r="FW136" s="27"/>
      <c r="FX136" s="28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</row>
    <row r="137" spans="1:220" ht="15.75" customHeight="1" x14ac:dyDescent="0.2">
      <c r="A137" s="57">
        <v>43782.380011574074</v>
      </c>
      <c r="B137" s="26">
        <v>603555</v>
      </c>
      <c r="C137" s="26">
        <v>299.3</v>
      </c>
      <c r="D137" s="86" t="s">
        <v>199</v>
      </c>
      <c r="E137" s="32">
        <f t="shared" si="12"/>
        <v>0</v>
      </c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6">
        <v>28.3</v>
      </c>
      <c r="DP137" s="25"/>
      <c r="DQ137" s="25"/>
      <c r="DR137" s="26">
        <f>63+48+33+25</f>
        <v>169</v>
      </c>
      <c r="DS137" s="26">
        <f>72+30</f>
        <v>102</v>
      </c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7"/>
      <c r="FW137" s="27"/>
      <c r="FX137" s="28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</row>
    <row r="138" spans="1:220" ht="15.75" customHeight="1" x14ac:dyDescent="0.2">
      <c r="A138" s="57">
        <v>43780.38622685185</v>
      </c>
      <c r="B138" s="26">
        <v>603277</v>
      </c>
      <c r="C138" s="26">
        <v>313.10000000000002</v>
      </c>
      <c r="D138" s="86" t="s">
        <v>200</v>
      </c>
      <c r="E138" s="32">
        <f t="shared" si="12"/>
        <v>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6">
        <v>313.10000000000002</v>
      </c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8"/>
      <c r="FW138" s="28"/>
      <c r="FX138" s="28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</row>
    <row r="139" spans="1:220" ht="15.75" customHeight="1" x14ac:dyDescent="0.2">
      <c r="A139" s="57">
        <v>43780.361990740741</v>
      </c>
      <c r="B139" s="26">
        <v>603275</v>
      </c>
      <c r="C139" s="26">
        <v>327.10000000000002</v>
      </c>
      <c r="D139" s="86" t="s">
        <v>201</v>
      </c>
      <c r="E139" s="32">
        <f t="shared" si="12"/>
        <v>0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6">
        <f>327.1</f>
        <v>327.10000000000002</v>
      </c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7"/>
      <c r="FW139" s="27"/>
      <c r="FX139" s="28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</row>
    <row r="140" spans="1:220" ht="15.75" customHeight="1" x14ac:dyDescent="0.2">
      <c r="A140" s="57">
        <v>43780.361990740741</v>
      </c>
      <c r="B140" s="26">
        <v>603275</v>
      </c>
      <c r="C140" s="26">
        <v>334.4</v>
      </c>
      <c r="D140" s="86" t="s">
        <v>202</v>
      </c>
      <c r="E140" s="32">
        <f t="shared" si="12"/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6">
        <v>334.4</v>
      </c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8"/>
      <c r="FW140" s="28"/>
      <c r="FX140" s="28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</row>
    <row r="141" spans="1:220" ht="15.75" customHeight="1" x14ac:dyDescent="0.2">
      <c r="A141" s="57">
        <v>43780.361990740741</v>
      </c>
      <c r="B141" s="26">
        <v>603275</v>
      </c>
      <c r="C141" s="26">
        <v>284.5</v>
      </c>
      <c r="D141" s="86" t="s">
        <v>203</v>
      </c>
      <c r="E141" s="32">
        <f t="shared" si="12"/>
        <v>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6">
        <v>284.5</v>
      </c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8"/>
      <c r="FW141" s="28"/>
      <c r="FX141" s="28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</row>
    <row r="142" spans="1:220" ht="15.75" customHeight="1" x14ac:dyDescent="0.2">
      <c r="A142" s="57">
        <v>43780.361990740741</v>
      </c>
      <c r="B142" s="26">
        <v>603275</v>
      </c>
      <c r="C142" s="26">
        <v>340.4</v>
      </c>
      <c r="D142" s="86" t="s">
        <v>204</v>
      </c>
      <c r="E142" s="32">
        <f t="shared" si="12"/>
        <v>0</v>
      </c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6">
        <v>340.4</v>
      </c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8"/>
      <c r="FW142" s="28"/>
      <c r="FX142" s="28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</row>
    <row r="143" spans="1:220" ht="15.75" customHeight="1" x14ac:dyDescent="0.2">
      <c r="A143" s="57">
        <v>43780.361990740741</v>
      </c>
      <c r="B143" s="26">
        <v>603275</v>
      </c>
      <c r="C143" s="26">
        <v>322.89999999999998</v>
      </c>
      <c r="D143" s="86" t="s">
        <v>205</v>
      </c>
      <c r="E143" s="32">
        <f t="shared" si="12"/>
        <v>0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6">
        <v>322.89999999999998</v>
      </c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8"/>
      <c r="FW143" s="28"/>
      <c r="FX143" s="28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</row>
    <row r="144" spans="1:220" ht="15.75" customHeight="1" x14ac:dyDescent="0.2">
      <c r="A144" s="57">
        <v>43780.361990740741</v>
      </c>
      <c r="B144" s="26">
        <v>603275</v>
      </c>
      <c r="C144" s="26">
        <v>324.26</v>
      </c>
      <c r="D144" s="86" t="s">
        <v>206</v>
      </c>
      <c r="E144" s="32">
        <f t="shared" si="12"/>
        <v>0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6">
        <v>324.26</v>
      </c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7"/>
      <c r="FW144" s="27"/>
      <c r="FX144" s="28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</row>
    <row r="145" spans="1:220" ht="15.75" customHeight="1" x14ac:dyDescent="0.2">
      <c r="A145" s="57">
        <v>43780.361990740741</v>
      </c>
      <c r="B145" s="26">
        <v>603275</v>
      </c>
      <c r="C145" s="26">
        <v>334.4</v>
      </c>
      <c r="D145" s="86" t="s">
        <v>207</v>
      </c>
      <c r="E145" s="32">
        <f t="shared" si="12"/>
        <v>0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6">
        <v>334.4</v>
      </c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8"/>
      <c r="FW145" s="28"/>
      <c r="FX145" s="28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</row>
    <row r="146" spans="1:220" ht="15.75" customHeight="1" x14ac:dyDescent="0.2">
      <c r="A146" s="57">
        <v>43780.361990740741</v>
      </c>
      <c r="B146" s="26">
        <v>603275</v>
      </c>
      <c r="C146" s="26">
        <v>316.2</v>
      </c>
      <c r="D146" s="86" t="s">
        <v>208</v>
      </c>
      <c r="E146" s="32">
        <f t="shared" si="12"/>
        <v>0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6">
        <v>316.2</v>
      </c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8"/>
      <c r="FW146" s="28"/>
      <c r="FX146" s="28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</row>
    <row r="147" spans="1:220" ht="15.75" customHeight="1" x14ac:dyDescent="0.2">
      <c r="A147" s="57">
        <v>43777.4216087963</v>
      </c>
      <c r="B147" s="26">
        <v>602842</v>
      </c>
      <c r="C147" s="26">
        <v>396.7</v>
      </c>
      <c r="D147" s="86" t="s">
        <v>209</v>
      </c>
      <c r="E147" s="32">
        <f t="shared" si="12"/>
        <v>0</v>
      </c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6">
        <f>346.7</f>
        <v>346.7</v>
      </c>
      <c r="DU147" s="26">
        <v>50</v>
      </c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7"/>
      <c r="FW147" s="27"/>
      <c r="FX147" s="28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</row>
    <row r="148" spans="1:220" ht="15.75" customHeight="1" x14ac:dyDescent="0.2">
      <c r="A148" s="57">
        <v>43777.4216087963</v>
      </c>
      <c r="B148" s="26">
        <v>602842</v>
      </c>
      <c r="C148" s="26">
        <v>312.10000000000002</v>
      </c>
      <c r="D148" s="86" t="s">
        <v>210</v>
      </c>
      <c r="E148" s="32">
        <f t="shared" si="12"/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6">
        <f>233.1</f>
        <v>233.1</v>
      </c>
      <c r="DU148" s="26">
        <v>79</v>
      </c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7"/>
      <c r="FW148" s="27"/>
      <c r="FX148" s="28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</row>
    <row r="149" spans="1:220" ht="15.75" customHeight="1" x14ac:dyDescent="0.2">
      <c r="A149" s="57">
        <v>43777.4216087963</v>
      </c>
      <c r="B149" s="26">
        <v>602842</v>
      </c>
      <c r="C149" s="26">
        <v>260.60000000000002</v>
      </c>
      <c r="D149" s="86" t="s">
        <v>211</v>
      </c>
      <c r="E149" s="32">
        <f t="shared" si="12"/>
        <v>0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6">
        <v>172.6</v>
      </c>
      <c r="DU149" s="26">
        <v>88</v>
      </c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7"/>
      <c r="FW149" s="27"/>
      <c r="FX149" s="28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</row>
    <row r="150" spans="1:220" ht="15.75" customHeight="1" x14ac:dyDescent="0.2">
      <c r="A150" s="57">
        <v>43777.4216087963</v>
      </c>
      <c r="B150" s="26">
        <v>602842</v>
      </c>
      <c r="C150" s="26">
        <v>277.7</v>
      </c>
      <c r="D150" s="86" t="s">
        <v>212</v>
      </c>
      <c r="E150" s="32">
        <f t="shared" si="12"/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6">
        <f>277.7-77</f>
        <v>200.7</v>
      </c>
      <c r="DU150" s="26">
        <v>77</v>
      </c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7"/>
      <c r="FW150" s="27"/>
      <c r="FX150" s="28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</row>
    <row r="151" spans="1:220" ht="15.75" customHeight="1" x14ac:dyDescent="0.2">
      <c r="A151" s="57">
        <v>43777.4216087963</v>
      </c>
      <c r="B151" s="26">
        <v>602842</v>
      </c>
      <c r="C151" s="26">
        <v>321.60000000000002</v>
      </c>
      <c r="D151" s="86" t="s">
        <v>213</v>
      </c>
      <c r="E151" s="32">
        <f t="shared" si="12"/>
        <v>0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6">
        <f>321.6-81</f>
        <v>240.60000000000002</v>
      </c>
      <c r="DU151" s="26">
        <v>81</v>
      </c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7"/>
      <c r="FW151" s="27"/>
      <c r="FX151" s="28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</row>
    <row r="152" spans="1:220" ht="15.75" customHeight="1" x14ac:dyDescent="0.2">
      <c r="A152" s="57">
        <v>43777.4216087963</v>
      </c>
      <c r="B152" s="26">
        <v>602842</v>
      </c>
      <c r="C152" s="26">
        <v>314</v>
      </c>
      <c r="D152" s="86" t="s">
        <v>214</v>
      </c>
      <c r="E152" s="32">
        <f t="shared" si="12"/>
        <v>0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6">
        <f>314-51</f>
        <v>263</v>
      </c>
      <c r="DU152" s="26">
        <v>51</v>
      </c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7"/>
      <c r="FW152" s="27"/>
      <c r="FX152" s="28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</row>
    <row r="153" spans="1:220" ht="15.75" customHeight="1" x14ac:dyDescent="0.2">
      <c r="A153" s="57">
        <v>43777.4216087963</v>
      </c>
      <c r="B153" s="26">
        <v>602842</v>
      </c>
      <c r="C153" s="26">
        <v>266.5</v>
      </c>
      <c r="D153" s="86" t="s">
        <v>215</v>
      </c>
      <c r="E153" s="32">
        <f t="shared" si="12"/>
        <v>0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58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6">
        <f>266.5-82</f>
        <v>184.5</v>
      </c>
      <c r="DU153" s="26">
        <v>82</v>
      </c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7"/>
      <c r="FW153" s="27"/>
      <c r="FX153" s="28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</row>
    <row r="154" spans="1:220" ht="15.75" customHeight="1" x14ac:dyDescent="0.2">
      <c r="A154" s="57">
        <v>43777.4216087963</v>
      </c>
      <c r="B154" s="26">
        <v>602842</v>
      </c>
      <c r="C154" s="26">
        <v>272</v>
      </c>
      <c r="D154" s="86" t="s">
        <v>216</v>
      </c>
      <c r="E154" s="32">
        <f t="shared" si="12"/>
        <v>0</v>
      </c>
      <c r="F154" s="26"/>
      <c r="G154" s="92"/>
      <c r="H154" s="92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58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6">
        <f>272-77</f>
        <v>195</v>
      </c>
      <c r="DU154" s="26">
        <v>77</v>
      </c>
      <c r="DV154" s="29"/>
      <c r="DW154" s="29"/>
      <c r="DX154" s="59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7"/>
      <c r="FW154" s="27"/>
      <c r="FX154" s="28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</row>
    <row r="155" spans="1:220" ht="15.75" customHeight="1" x14ac:dyDescent="0.2">
      <c r="A155" s="57">
        <v>43776.433310185188</v>
      </c>
      <c r="B155" s="26">
        <v>602711</v>
      </c>
      <c r="C155" s="26">
        <v>354.1</v>
      </c>
      <c r="D155" s="86" t="s">
        <v>217</v>
      </c>
      <c r="E155" s="32">
        <f t="shared" si="12"/>
        <v>0.10000000000002274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58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6">
        <v>174</v>
      </c>
      <c r="DV155" s="26">
        <f>30+51</f>
        <v>81</v>
      </c>
      <c r="DW155" s="26">
        <v>49</v>
      </c>
      <c r="DX155" s="26">
        <v>50</v>
      </c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8"/>
      <c r="FW155" s="28"/>
      <c r="FX155" s="28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</row>
    <row r="156" spans="1:220" ht="15.75" customHeight="1" x14ac:dyDescent="0.2">
      <c r="A156" s="57">
        <v>43776.433310185188</v>
      </c>
      <c r="B156" s="26">
        <v>602711</v>
      </c>
      <c r="C156" s="26">
        <v>389.7</v>
      </c>
      <c r="D156" s="86" t="s">
        <v>218</v>
      </c>
      <c r="E156" s="32">
        <f t="shared" si="12"/>
        <v>0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6">
        <v>87.7</v>
      </c>
      <c r="DV156" s="26">
        <f>124+64</f>
        <v>188</v>
      </c>
      <c r="DW156" s="26">
        <v>20</v>
      </c>
      <c r="DX156" s="26">
        <f>45+49</f>
        <v>94</v>
      </c>
      <c r="DY156" s="26">
        <v>0</v>
      </c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8"/>
      <c r="FW156" s="28"/>
      <c r="FX156" s="28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</row>
    <row r="157" spans="1:220" ht="15.75" customHeight="1" x14ac:dyDescent="0.2">
      <c r="A157" s="57">
        <v>43776.433310185188</v>
      </c>
      <c r="B157" s="26">
        <v>602711</v>
      </c>
      <c r="C157" s="26">
        <v>328.2</v>
      </c>
      <c r="D157" s="86" t="s">
        <v>219</v>
      </c>
      <c r="E157" s="32">
        <f t="shared" si="12"/>
        <v>0</v>
      </c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58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6">
        <f>104.2+49</f>
        <v>153.19999999999999</v>
      </c>
      <c r="DV157" s="26">
        <v>67</v>
      </c>
      <c r="DW157" s="26">
        <v>63</v>
      </c>
      <c r="DX157" s="26">
        <v>45</v>
      </c>
      <c r="DY157" s="26">
        <v>0</v>
      </c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8"/>
      <c r="FW157" s="28"/>
      <c r="FX157" s="28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</row>
    <row r="158" spans="1:220" ht="15.75" customHeight="1" x14ac:dyDescent="0.2">
      <c r="A158" s="57">
        <v>43776.433310185188</v>
      </c>
      <c r="B158" s="26">
        <v>602711</v>
      </c>
      <c r="C158" s="26">
        <v>375.8</v>
      </c>
      <c r="D158" s="86" t="s">
        <v>220</v>
      </c>
      <c r="E158" s="32">
        <f t="shared" si="12"/>
        <v>0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6">
        <f>155.8</f>
        <v>155.80000000000001</v>
      </c>
      <c r="DV158" s="26">
        <v>51</v>
      </c>
      <c r="DW158" s="26">
        <v>61</v>
      </c>
      <c r="DX158" s="26">
        <f>63+45</f>
        <v>108</v>
      </c>
      <c r="DY158" s="26">
        <v>0</v>
      </c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8"/>
      <c r="FW158" s="28"/>
      <c r="FX158" s="28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</row>
    <row r="159" spans="1:220" ht="15.75" customHeight="1" x14ac:dyDescent="0.2">
      <c r="A159" s="57">
        <v>43776.433310185188</v>
      </c>
      <c r="B159" s="26">
        <v>602711</v>
      </c>
      <c r="C159" s="26">
        <v>345.9</v>
      </c>
      <c r="D159" s="86" t="s">
        <v>221</v>
      </c>
      <c r="E159" s="32">
        <f t="shared" si="12"/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58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6">
        <v>209.9</v>
      </c>
      <c r="DV159" s="26">
        <f>37+25</f>
        <v>62</v>
      </c>
      <c r="DW159" s="26">
        <v>30</v>
      </c>
      <c r="DX159" s="26">
        <v>44</v>
      </c>
      <c r="DY159" s="26">
        <v>0</v>
      </c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8"/>
      <c r="FW159" s="28"/>
      <c r="FX159" s="28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</row>
    <row r="160" spans="1:220" ht="15.75" customHeight="1" x14ac:dyDescent="0.2">
      <c r="A160" s="57">
        <v>43776.433310185188</v>
      </c>
      <c r="B160" s="26">
        <v>602711</v>
      </c>
      <c r="C160" s="26">
        <v>334.3</v>
      </c>
      <c r="D160" s="86" t="s">
        <v>222</v>
      </c>
      <c r="E160" s="32">
        <f t="shared" si="12"/>
        <v>0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58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6">
        <v>149.30000000000001</v>
      </c>
      <c r="DV160" s="26">
        <v>68</v>
      </c>
      <c r="DW160" s="26">
        <v>64</v>
      </c>
      <c r="DX160" s="26">
        <v>53</v>
      </c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8"/>
      <c r="FW160" s="28"/>
      <c r="FX160" s="28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</row>
    <row r="161" spans="1:220" ht="15.75" customHeight="1" x14ac:dyDescent="0.2">
      <c r="A161" s="57">
        <v>43776.433310185188</v>
      </c>
      <c r="B161" s="26">
        <v>602711</v>
      </c>
      <c r="C161" s="26">
        <v>363.5</v>
      </c>
      <c r="D161" s="86" t="s">
        <v>223</v>
      </c>
      <c r="E161" s="32">
        <f t="shared" si="12"/>
        <v>0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58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6">
        <f>122.5+62</f>
        <v>184.5</v>
      </c>
      <c r="DV161" s="26">
        <v>60</v>
      </c>
      <c r="DW161" s="26">
        <v>30</v>
      </c>
      <c r="DX161" s="26">
        <f>43+46</f>
        <v>89</v>
      </c>
      <c r="DY161" s="26">
        <v>0</v>
      </c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8"/>
      <c r="FW161" s="28"/>
      <c r="FX161" s="28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</row>
    <row r="162" spans="1:220" ht="15.75" customHeight="1" x14ac:dyDescent="0.2">
      <c r="A162" s="57">
        <v>43776.433310185188</v>
      </c>
      <c r="B162" s="26">
        <v>602711</v>
      </c>
      <c r="C162" s="26">
        <v>339.9</v>
      </c>
      <c r="D162" s="86" t="s">
        <v>224</v>
      </c>
      <c r="E162" s="32">
        <f t="shared" si="12"/>
        <v>0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58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6">
        <v>147.9</v>
      </c>
      <c r="DV162" s="26">
        <v>110</v>
      </c>
      <c r="DW162" s="26">
        <v>30</v>
      </c>
      <c r="DX162" s="26">
        <v>52</v>
      </c>
      <c r="DY162" s="26">
        <v>0</v>
      </c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8"/>
      <c r="FW162" s="28"/>
      <c r="FX162" s="28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</row>
    <row r="163" spans="1:220" ht="15.75" customHeight="1" x14ac:dyDescent="0.2">
      <c r="A163" s="57">
        <v>43776.433310185188</v>
      </c>
      <c r="B163" s="26">
        <v>602711</v>
      </c>
      <c r="C163" s="26">
        <v>360.78</v>
      </c>
      <c r="D163" s="86" t="s">
        <v>225</v>
      </c>
      <c r="E163" s="32">
        <f t="shared" si="12"/>
        <v>-2.0000000000038654E-2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6">
        <v>150.80000000000001</v>
      </c>
      <c r="DV163" s="26">
        <f>62+58</f>
        <v>120</v>
      </c>
      <c r="DW163" s="25"/>
      <c r="DX163" s="26">
        <f>42+48</f>
        <v>90</v>
      </c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7"/>
      <c r="FW163" s="27"/>
      <c r="FX163" s="28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</row>
    <row r="164" spans="1:220" ht="15.75" customHeight="1" x14ac:dyDescent="0.2">
      <c r="A164" s="57">
        <v>43775.523611111108</v>
      </c>
      <c r="B164" s="26">
        <v>602585</v>
      </c>
      <c r="C164" s="26">
        <v>269.39999999999998</v>
      </c>
      <c r="D164" s="86" t="s">
        <v>226</v>
      </c>
      <c r="E164" s="32">
        <f t="shared" si="12"/>
        <v>0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6">
        <v>103.4</v>
      </c>
      <c r="DY164" s="26">
        <f>63+51+52</f>
        <v>166</v>
      </c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7"/>
      <c r="FW164" s="27"/>
      <c r="FX164" s="28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</row>
    <row r="165" spans="1:220" ht="15.75" customHeight="1" x14ac:dyDescent="0.2">
      <c r="A165" s="57">
        <v>43775.523611111108</v>
      </c>
      <c r="B165" s="26">
        <v>602585</v>
      </c>
      <c r="C165" s="26">
        <v>541.9</v>
      </c>
      <c r="D165" s="86" t="s">
        <v>227</v>
      </c>
      <c r="E165" s="32">
        <f t="shared" si="12"/>
        <v>0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6">
        <v>106.9</v>
      </c>
      <c r="DY165" s="26">
        <f>40+50+37+55+53+200</f>
        <v>435</v>
      </c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7"/>
      <c r="FW165" s="27"/>
      <c r="FX165" s="28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</row>
    <row r="166" spans="1:220" ht="15.75" customHeight="1" x14ac:dyDescent="0.2">
      <c r="A166" s="57">
        <v>43775.523541666669</v>
      </c>
      <c r="B166" s="26">
        <v>602584</v>
      </c>
      <c r="C166" s="26">
        <v>388</v>
      </c>
      <c r="D166" s="86" t="s">
        <v>228</v>
      </c>
      <c r="E166" s="32">
        <f t="shared" si="12"/>
        <v>0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6">
        <v>161</v>
      </c>
      <c r="DY166" s="26">
        <f>65+54+63+45</f>
        <v>227</v>
      </c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7"/>
      <c r="FW166" s="27"/>
      <c r="FX166" s="28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</row>
    <row r="167" spans="1:220" ht="15.75" customHeight="1" x14ac:dyDescent="0.2">
      <c r="A167" s="57">
        <v>43775.523541666669</v>
      </c>
      <c r="B167" s="26">
        <v>602584</v>
      </c>
      <c r="C167" s="26">
        <v>390.6</v>
      </c>
      <c r="D167" s="86" t="s">
        <v>229</v>
      </c>
      <c r="E167" s="32">
        <f t="shared" si="12"/>
        <v>0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6">
        <v>162.6</v>
      </c>
      <c r="DY167" s="26">
        <v>228</v>
      </c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7"/>
      <c r="FW167" s="27"/>
      <c r="FX167" s="28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</row>
    <row r="168" spans="1:220" ht="15.75" customHeight="1" x14ac:dyDescent="0.2">
      <c r="A168" s="57">
        <v>43775.523541666669</v>
      </c>
      <c r="B168" s="26">
        <v>602584</v>
      </c>
      <c r="C168" s="26">
        <v>284.89999999999998</v>
      </c>
      <c r="D168" s="86" t="s">
        <v>230</v>
      </c>
      <c r="E168" s="32">
        <f t="shared" si="12"/>
        <v>0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6">
        <v>93.9</v>
      </c>
      <c r="DY168" s="26">
        <v>191</v>
      </c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7"/>
      <c r="FW168" s="27"/>
      <c r="FX168" s="28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</row>
    <row r="169" spans="1:220" ht="15.75" customHeight="1" x14ac:dyDescent="0.2">
      <c r="A169" s="57">
        <v>43775.523541666669</v>
      </c>
      <c r="B169" s="26">
        <v>602584</v>
      </c>
      <c r="C169" s="26">
        <v>289.10000000000002</v>
      </c>
      <c r="D169" s="86" t="s">
        <v>231</v>
      </c>
      <c r="E169" s="32">
        <f t="shared" si="12"/>
        <v>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6">
        <v>104.1</v>
      </c>
      <c r="DY169" s="26">
        <v>185</v>
      </c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7"/>
      <c r="FW169" s="27"/>
      <c r="FX169" s="28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</row>
    <row r="170" spans="1:220" ht="15.75" customHeight="1" x14ac:dyDescent="0.2">
      <c r="A170" s="57">
        <v>43775.523541666669</v>
      </c>
      <c r="B170" s="26">
        <v>602584</v>
      </c>
      <c r="C170" s="26">
        <v>277.3</v>
      </c>
      <c r="D170" s="86" t="s">
        <v>232</v>
      </c>
      <c r="E170" s="32">
        <f t="shared" si="12"/>
        <v>0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6">
        <v>108.3</v>
      </c>
      <c r="DY170" s="26">
        <v>169</v>
      </c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7"/>
      <c r="FW170" s="27"/>
      <c r="FX170" s="28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</row>
    <row r="171" spans="1:220" ht="15.75" customHeight="1" x14ac:dyDescent="0.2">
      <c r="A171" s="57">
        <v>43775.523541666669</v>
      </c>
      <c r="B171" s="26">
        <v>602584</v>
      </c>
      <c r="C171" s="26">
        <v>300.60000000000002</v>
      </c>
      <c r="D171" s="86" t="s">
        <v>233</v>
      </c>
      <c r="E171" s="32">
        <f t="shared" si="12"/>
        <v>0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6">
        <v>113.6</v>
      </c>
      <c r="DY171" s="26">
        <f>67+55+65</f>
        <v>187</v>
      </c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7"/>
      <c r="FW171" s="27"/>
      <c r="FX171" s="28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</row>
    <row r="172" spans="1:220" ht="15.75" customHeight="1" x14ac:dyDescent="0.2">
      <c r="A172" s="57">
        <v>43774.732870370368</v>
      </c>
      <c r="B172" s="26">
        <v>602480</v>
      </c>
      <c r="C172" s="26">
        <v>224.1</v>
      </c>
      <c r="D172" s="86" t="s">
        <v>234</v>
      </c>
      <c r="E172" s="32">
        <f t="shared" si="12"/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6">
        <v>30.1</v>
      </c>
      <c r="DZ172" s="26">
        <v>194</v>
      </c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7"/>
      <c r="FW172" s="27"/>
      <c r="FX172" s="28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</row>
    <row r="173" spans="1:220" ht="15.75" customHeight="1" x14ac:dyDescent="0.2">
      <c r="A173" s="57">
        <v>43774.732870370368</v>
      </c>
      <c r="B173" s="26">
        <v>602480</v>
      </c>
      <c r="C173" s="26">
        <v>227.3</v>
      </c>
      <c r="D173" s="86" t="s">
        <v>235</v>
      </c>
      <c r="E173" s="32">
        <f t="shared" si="12"/>
        <v>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6">
        <v>227.3</v>
      </c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7"/>
      <c r="FW173" s="27"/>
      <c r="FX173" s="28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</row>
    <row r="174" spans="1:220" ht="15.75" customHeight="1" x14ac:dyDescent="0.2">
      <c r="A174" s="57">
        <v>43774.732870370368</v>
      </c>
      <c r="B174" s="26">
        <v>602480</v>
      </c>
      <c r="C174" s="26">
        <v>223.3</v>
      </c>
      <c r="D174" s="86" t="s">
        <v>236</v>
      </c>
      <c r="E174" s="32">
        <f t="shared" si="12"/>
        <v>0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6">
        <v>55.3</v>
      </c>
      <c r="DZ174" s="26">
        <v>168</v>
      </c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7"/>
      <c r="FW174" s="27"/>
      <c r="FX174" s="28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</row>
    <row r="175" spans="1:220" ht="15.75" customHeight="1" x14ac:dyDescent="0.2">
      <c r="A175" s="57">
        <v>43774.732870370368</v>
      </c>
      <c r="B175" s="26">
        <v>602480</v>
      </c>
      <c r="C175" s="26">
        <v>236.7</v>
      </c>
      <c r="D175" s="86" t="s">
        <v>237</v>
      </c>
      <c r="E175" s="32">
        <f t="shared" si="12"/>
        <v>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6">
        <v>55.32</v>
      </c>
      <c r="DZ175" s="26">
        <v>181.38</v>
      </c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7"/>
      <c r="FW175" s="27"/>
      <c r="FX175" s="28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</row>
    <row r="176" spans="1:220" ht="15.75" customHeight="1" x14ac:dyDescent="0.2">
      <c r="A176" s="57">
        <v>43774.732870370368</v>
      </c>
      <c r="B176" s="26">
        <v>602480</v>
      </c>
      <c r="C176" s="26">
        <v>222.8</v>
      </c>
      <c r="D176" s="86" t="s">
        <v>238</v>
      </c>
      <c r="E176" s="32">
        <f t="shared" si="12"/>
        <v>0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6">
        <v>54.84</v>
      </c>
      <c r="DZ176" s="26">
        <v>167.96</v>
      </c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7"/>
      <c r="FW176" s="27"/>
      <c r="FX176" s="28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</row>
    <row r="177" spans="1:220" ht="15.75" customHeight="1" x14ac:dyDescent="0.2">
      <c r="A177" s="57">
        <v>43774.732870370368</v>
      </c>
      <c r="B177" s="26">
        <v>602480</v>
      </c>
      <c r="C177" s="26">
        <v>234.8</v>
      </c>
      <c r="D177" s="86" t="s">
        <v>239</v>
      </c>
      <c r="E177" s="32">
        <f t="shared" si="12"/>
        <v>0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6">
        <v>234.8</v>
      </c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7"/>
      <c r="FW177" s="27"/>
      <c r="FX177" s="28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</row>
    <row r="178" spans="1:220" ht="15.75" customHeight="1" x14ac:dyDescent="0.2">
      <c r="A178" s="57">
        <v>43774.732870370368</v>
      </c>
      <c r="B178" s="26">
        <v>602480</v>
      </c>
      <c r="C178" s="26">
        <v>212.6</v>
      </c>
      <c r="D178" s="86" t="s">
        <v>240</v>
      </c>
      <c r="E178" s="32">
        <f t="shared" si="12"/>
        <v>0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6">
        <v>34</v>
      </c>
      <c r="DZ178" s="26">
        <v>178.6</v>
      </c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7"/>
      <c r="FW178" s="27"/>
      <c r="FX178" s="28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</row>
    <row r="179" spans="1:220" ht="15.75" customHeight="1" x14ac:dyDescent="0.2">
      <c r="A179" s="57">
        <v>43774.145624999997</v>
      </c>
      <c r="B179" s="26">
        <v>602391</v>
      </c>
      <c r="C179" s="26">
        <v>421.6</v>
      </c>
      <c r="D179" s="86" t="s">
        <v>241</v>
      </c>
      <c r="E179" s="32">
        <f t="shared" si="12"/>
        <v>0</v>
      </c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6">
        <v>12.6</v>
      </c>
      <c r="DZ179" s="26">
        <f>42+49+59</f>
        <v>150</v>
      </c>
      <c r="EA179" s="26">
        <f>198+30+31</f>
        <v>259</v>
      </c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7"/>
      <c r="FW179" s="27"/>
      <c r="FX179" s="28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</row>
    <row r="180" spans="1:220" ht="15.75" customHeight="1" x14ac:dyDescent="0.2">
      <c r="A180" s="57">
        <v>43774.145624999997</v>
      </c>
      <c r="B180" s="26">
        <v>602391</v>
      </c>
      <c r="C180" s="26">
        <v>396.84</v>
      </c>
      <c r="D180" s="86" t="s">
        <v>242</v>
      </c>
      <c r="E180" s="32">
        <f t="shared" si="12"/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6"/>
      <c r="DZ180" s="26">
        <v>132.84</v>
      </c>
      <c r="EA180" s="26">
        <v>264</v>
      </c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7"/>
      <c r="FW180" s="27"/>
      <c r="FX180" s="28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</row>
    <row r="181" spans="1:220" ht="15.75" customHeight="1" x14ac:dyDescent="0.2">
      <c r="A181" s="57">
        <v>43774.145624999997</v>
      </c>
      <c r="B181" s="26">
        <v>602391</v>
      </c>
      <c r="C181" s="26">
        <v>354.36</v>
      </c>
      <c r="D181" s="86" t="s">
        <v>243</v>
      </c>
      <c r="E181" s="32">
        <f t="shared" si="12"/>
        <v>9.9999999999909051E-3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6">
        <v>183</v>
      </c>
      <c r="DZ181" s="26">
        <v>171.35</v>
      </c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7"/>
      <c r="FW181" s="27"/>
      <c r="FX181" s="28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</row>
    <row r="182" spans="1:220" ht="15.75" customHeight="1" x14ac:dyDescent="0.2">
      <c r="A182" s="57">
        <v>43774.145624999997</v>
      </c>
      <c r="B182" s="26">
        <v>602391</v>
      </c>
      <c r="C182" s="26">
        <v>436.4</v>
      </c>
      <c r="D182" s="86" t="s">
        <v>244</v>
      </c>
      <c r="E182" s="32">
        <f t="shared" si="12"/>
        <v>0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6">
        <v>45</v>
      </c>
      <c r="DZ182" s="26">
        <v>143.4</v>
      </c>
      <c r="EA182" s="26">
        <f>160+29+29+30</f>
        <v>248</v>
      </c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7"/>
      <c r="FW182" s="27"/>
      <c r="FX182" s="28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</row>
    <row r="183" spans="1:220" ht="15.75" customHeight="1" x14ac:dyDescent="0.2">
      <c r="A183" s="57">
        <v>43772.379629629628</v>
      </c>
      <c r="B183" s="26">
        <v>602159</v>
      </c>
      <c r="C183" s="26">
        <v>428.98</v>
      </c>
      <c r="D183" s="86" t="s">
        <v>245</v>
      </c>
      <c r="E183" s="32">
        <f t="shared" si="12"/>
        <v>0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6">
        <v>428.98</v>
      </c>
      <c r="EB183" s="26"/>
      <c r="EC183" s="26"/>
      <c r="ED183" s="26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7"/>
      <c r="FW183" s="27"/>
      <c r="FX183" s="28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</row>
    <row r="184" spans="1:220" ht="15.75" customHeight="1" x14ac:dyDescent="0.2">
      <c r="A184" s="57">
        <v>43772.379629629628</v>
      </c>
      <c r="B184" s="26">
        <v>602159</v>
      </c>
      <c r="C184" s="26">
        <v>404.76</v>
      </c>
      <c r="D184" s="86" t="s">
        <v>246</v>
      </c>
      <c r="E184" s="32">
        <f t="shared" si="12"/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6">
        <v>404.76</v>
      </c>
      <c r="EB184" s="26"/>
      <c r="EC184" s="26"/>
      <c r="ED184" s="26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7"/>
      <c r="FW184" s="27"/>
      <c r="FX184" s="28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</row>
    <row r="185" spans="1:220" ht="15.75" customHeight="1" x14ac:dyDescent="0.2">
      <c r="A185" s="57">
        <v>43772.379629629628</v>
      </c>
      <c r="B185" s="26">
        <v>602159</v>
      </c>
      <c r="C185" s="26">
        <v>400.6</v>
      </c>
      <c r="D185" s="86" t="s">
        <v>247</v>
      </c>
      <c r="E185" s="32">
        <f t="shared" si="12"/>
        <v>0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6">
        <v>400.6</v>
      </c>
      <c r="EB185" s="26"/>
      <c r="EC185" s="26"/>
      <c r="ED185" s="26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7"/>
      <c r="FW185" s="27"/>
      <c r="FX185" s="28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</row>
    <row r="186" spans="1:220" ht="15.75" customHeight="1" x14ac:dyDescent="0.2">
      <c r="A186" s="57">
        <v>43772.379629629628</v>
      </c>
      <c r="B186" s="26">
        <v>602159</v>
      </c>
      <c r="C186" s="26">
        <v>385.58</v>
      </c>
      <c r="D186" s="86" t="s">
        <v>248</v>
      </c>
      <c r="E186" s="32">
        <f t="shared" si="12"/>
        <v>0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6">
        <v>385.58</v>
      </c>
      <c r="EB186" s="26"/>
      <c r="EC186" s="26"/>
      <c r="ED186" s="26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7"/>
      <c r="FW186" s="27"/>
      <c r="FX186" s="28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</row>
    <row r="187" spans="1:220" ht="15.75" customHeight="1" x14ac:dyDescent="0.2">
      <c r="A187" s="57">
        <v>43772.379629629628</v>
      </c>
      <c r="B187" s="26">
        <v>602159</v>
      </c>
      <c r="C187" s="26">
        <v>379.2</v>
      </c>
      <c r="D187" s="86" t="s">
        <v>249</v>
      </c>
      <c r="E187" s="32">
        <f t="shared" si="12"/>
        <v>0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6">
        <v>379.2</v>
      </c>
      <c r="EB187" s="26"/>
      <c r="EC187" s="26"/>
      <c r="ED187" s="26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7"/>
      <c r="FW187" s="27"/>
      <c r="FX187" s="28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</row>
    <row r="188" spans="1:220" ht="15.75" customHeight="1" x14ac:dyDescent="0.2">
      <c r="A188" s="57">
        <v>43771.545729166668</v>
      </c>
      <c r="B188" s="26">
        <v>602045</v>
      </c>
      <c r="C188" s="26">
        <v>48.2</v>
      </c>
      <c r="D188" s="86" t="s">
        <v>250</v>
      </c>
      <c r="E188" s="32">
        <f t="shared" si="12"/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6">
        <v>48.2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7"/>
      <c r="FW188" s="27"/>
      <c r="FX188" s="28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</row>
    <row r="189" spans="1:220" ht="15.75" customHeight="1" x14ac:dyDescent="0.2">
      <c r="A189" s="57">
        <v>43771.543298611112</v>
      </c>
      <c r="B189" s="26">
        <v>602044</v>
      </c>
      <c r="C189" s="26">
        <v>55.56</v>
      </c>
      <c r="D189" s="86" t="s">
        <v>251</v>
      </c>
      <c r="E189" s="32">
        <f t="shared" ref="E189:E252" si="13">C189-SUM(AN189:HK189)</f>
        <v>0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6">
        <v>55.56</v>
      </c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7"/>
      <c r="FW189" s="27"/>
      <c r="FX189" s="28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</row>
    <row r="190" spans="1:220" ht="15.75" customHeight="1" x14ac:dyDescent="0.2">
      <c r="A190" s="57">
        <v>43771.488888888889</v>
      </c>
      <c r="B190" s="26">
        <v>602035</v>
      </c>
      <c r="C190" s="26">
        <v>79.53</v>
      </c>
      <c r="D190" s="86" t="s">
        <v>252</v>
      </c>
      <c r="E190" s="32">
        <f t="shared" si="13"/>
        <v>0</v>
      </c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6">
        <v>79.53</v>
      </c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7"/>
      <c r="FW190" s="27"/>
      <c r="FX190" s="28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</row>
    <row r="191" spans="1:220" ht="15.75" customHeight="1" x14ac:dyDescent="0.2">
      <c r="A191" s="57">
        <v>43770.504988425928</v>
      </c>
      <c r="B191" s="26">
        <v>601910</v>
      </c>
      <c r="C191" s="26">
        <v>35.299999999999997</v>
      </c>
      <c r="D191" s="86" t="s">
        <v>253</v>
      </c>
      <c r="E191" s="32">
        <f t="shared" si="13"/>
        <v>0</v>
      </c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6">
        <v>35.299999999999997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7"/>
      <c r="FW191" s="27"/>
      <c r="FX191" s="28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</row>
    <row r="192" spans="1:220" ht="15.75" customHeight="1" x14ac:dyDescent="0.2">
      <c r="A192" s="57">
        <v>43770.490856481483</v>
      </c>
      <c r="B192" s="26">
        <v>601907</v>
      </c>
      <c r="C192" s="26">
        <v>25.68</v>
      </c>
      <c r="D192" s="86" t="s">
        <v>254</v>
      </c>
      <c r="E192" s="32">
        <f t="shared" si="13"/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6">
        <v>25.68</v>
      </c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7"/>
      <c r="FW192" s="27"/>
      <c r="FX192" s="28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</row>
    <row r="193" spans="1:220" ht="15.75" customHeight="1" x14ac:dyDescent="0.2">
      <c r="A193" s="57">
        <v>43770.490856481483</v>
      </c>
      <c r="B193" s="26">
        <v>601907</v>
      </c>
      <c r="C193" s="26">
        <v>27.68</v>
      </c>
      <c r="D193" s="86" t="s">
        <v>255</v>
      </c>
      <c r="E193" s="32">
        <f t="shared" si="13"/>
        <v>0</v>
      </c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6">
        <v>27.68</v>
      </c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7"/>
      <c r="FW193" s="27"/>
      <c r="FX193" s="28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</row>
    <row r="194" spans="1:220" ht="15.75" customHeight="1" x14ac:dyDescent="0.2">
      <c r="A194" s="57">
        <v>43770.397604166668</v>
      </c>
      <c r="B194" s="26">
        <v>601894</v>
      </c>
      <c r="C194" s="26">
        <v>28.58</v>
      </c>
      <c r="D194" s="86" t="s">
        <v>256</v>
      </c>
      <c r="E194" s="32">
        <f t="shared" si="13"/>
        <v>-2.0000000000003126E-2</v>
      </c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6">
        <v>28.6</v>
      </c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7"/>
      <c r="FW194" s="27"/>
      <c r="FX194" s="28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</row>
    <row r="195" spans="1:220" ht="15.75" customHeight="1" x14ac:dyDescent="0.2">
      <c r="A195" s="57">
        <v>43770.397604166668</v>
      </c>
      <c r="B195" s="26">
        <v>601894</v>
      </c>
      <c r="C195" s="26">
        <v>26.54</v>
      </c>
      <c r="D195" s="86" t="s">
        <v>257</v>
      </c>
      <c r="E195" s="32">
        <f t="shared" si="13"/>
        <v>3.9999999999999147E-2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6">
        <v>26.5</v>
      </c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7"/>
      <c r="FW195" s="27"/>
      <c r="FX195" s="28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</row>
    <row r="196" spans="1:220" ht="15.75" customHeight="1" x14ac:dyDescent="0.2">
      <c r="A196" s="57">
        <v>43770.397604166668</v>
      </c>
      <c r="B196" s="26">
        <v>601894</v>
      </c>
      <c r="C196" s="26">
        <v>25.78</v>
      </c>
      <c r="D196" s="86" t="s">
        <v>258</v>
      </c>
      <c r="E196" s="32">
        <f t="shared" si="13"/>
        <v>-1.9999999999999574E-2</v>
      </c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6">
        <v>25.8</v>
      </c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7"/>
      <c r="FW196" s="27"/>
      <c r="FX196" s="28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</row>
    <row r="197" spans="1:220" ht="15.75" customHeight="1" x14ac:dyDescent="0.2">
      <c r="A197" s="57">
        <v>43770.385370370372</v>
      </c>
      <c r="B197" s="26">
        <v>601892</v>
      </c>
      <c r="C197" s="26">
        <v>22.5</v>
      </c>
      <c r="D197" s="86" t="s">
        <v>259</v>
      </c>
      <c r="E197" s="32">
        <f t="shared" si="13"/>
        <v>0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6">
        <v>22.5</v>
      </c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7"/>
      <c r="FW197" s="27"/>
      <c r="FX197" s="28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</row>
    <row r="198" spans="1:220" ht="15.75" customHeight="1" x14ac:dyDescent="0.2">
      <c r="A198" s="57">
        <v>43769.846192129633</v>
      </c>
      <c r="B198" s="26">
        <v>601832</v>
      </c>
      <c r="C198" s="26">
        <v>309.95999999999998</v>
      </c>
      <c r="D198" s="86" t="s">
        <v>260</v>
      </c>
      <c r="E198" s="32">
        <f t="shared" si="13"/>
        <v>0</v>
      </c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6">
        <v>309.95999999999998</v>
      </c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8"/>
      <c r="FW198" s="28"/>
      <c r="FX198" s="28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</row>
    <row r="199" spans="1:220" ht="15.75" customHeight="1" x14ac:dyDescent="0.2">
      <c r="A199" s="57">
        <v>43769.846192129633</v>
      </c>
      <c r="B199" s="26">
        <v>601832</v>
      </c>
      <c r="C199" s="26">
        <v>317.39999999999998</v>
      </c>
      <c r="D199" s="86" t="s">
        <v>261</v>
      </c>
      <c r="E199" s="32">
        <f t="shared" si="13"/>
        <v>0</v>
      </c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6">
        <v>317.39999999999998</v>
      </c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8"/>
      <c r="FW199" s="28"/>
      <c r="FX199" s="28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</row>
    <row r="200" spans="1:220" ht="15.75" customHeight="1" x14ac:dyDescent="0.2">
      <c r="A200" s="57">
        <v>43769.846192129633</v>
      </c>
      <c r="B200" s="26">
        <v>601832</v>
      </c>
      <c r="C200" s="26">
        <v>322.89999999999998</v>
      </c>
      <c r="D200" s="86" t="s">
        <v>262</v>
      </c>
      <c r="E200" s="32">
        <f t="shared" si="13"/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6">
        <v>322.89999999999998</v>
      </c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8"/>
      <c r="FW200" s="28"/>
      <c r="FX200" s="28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</row>
    <row r="201" spans="1:220" ht="15.75" customHeight="1" x14ac:dyDescent="0.2">
      <c r="A201" s="57">
        <v>43769.846192129633</v>
      </c>
      <c r="B201" s="26">
        <v>601832</v>
      </c>
      <c r="C201" s="26">
        <v>409.88</v>
      </c>
      <c r="D201" s="86" t="s">
        <v>263</v>
      </c>
      <c r="E201" s="32">
        <f t="shared" si="13"/>
        <v>7.9999999999984084E-2</v>
      </c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6">
        <v>409.8</v>
      </c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8"/>
      <c r="FW201" s="28"/>
      <c r="FX201" s="28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</row>
    <row r="202" spans="1:220" ht="15.75" customHeight="1" x14ac:dyDescent="0.2">
      <c r="A202" s="60">
        <v>43769.844027777777</v>
      </c>
      <c r="B202" s="33">
        <v>601831</v>
      </c>
      <c r="C202" s="33">
        <v>332</v>
      </c>
      <c r="D202" s="86" t="s">
        <v>264</v>
      </c>
      <c r="E202" s="32">
        <f t="shared" si="13"/>
        <v>0</v>
      </c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25"/>
      <c r="DV202" s="47"/>
      <c r="DW202" s="25"/>
      <c r="DX202" s="25"/>
      <c r="DY202" s="25"/>
      <c r="DZ202" s="25"/>
      <c r="EA202" s="25"/>
      <c r="EB202" s="25"/>
      <c r="EC202" s="25"/>
      <c r="ED202" s="25"/>
      <c r="EE202" s="26">
        <v>332</v>
      </c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8"/>
      <c r="FW202" s="28"/>
      <c r="FX202" s="28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</row>
    <row r="203" spans="1:220" ht="15.75" customHeight="1" x14ac:dyDescent="0.2">
      <c r="A203" s="57">
        <v>43732.505150462966</v>
      </c>
      <c r="B203" s="26">
        <v>596344</v>
      </c>
      <c r="C203" s="26">
        <v>230.35</v>
      </c>
      <c r="D203" s="86" t="s">
        <v>265</v>
      </c>
      <c r="E203" s="32">
        <f t="shared" si="13"/>
        <v>0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58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6">
        <f>45+65.35</f>
        <v>110.35</v>
      </c>
      <c r="EG203" s="26">
        <v>30</v>
      </c>
      <c r="EH203" s="26">
        <v>41</v>
      </c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6">
        <v>49</v>
      </c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7"/>
      <c r="FW203" s="27"/>
      <c r="FX203" s="28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</row>
    <row r="204" spans="1:220" ht="15.75" customHeight="1" x14ac:dyDescent="0.2">
      <c r="A204" s="57">
        <v>43732.505150462966</v>
      </c>
      <c r="B204" s="26">
        <v>596344</v>
      </c>
      <c r="C204" s="26">
        <v>255</v>
      </c>
      <c r="D204" s="86" t="s">
        <v>266</v>
      </c>
      <c r="E204" s="32">
        <f t="shared" si="13"/>
        <v>3.9999999999992042E-2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58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6">
        <v>206.96</v>
      </c>
      <c r="FB204" s="26">
        <v>48</v>
      </c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7"/>
      <c r="FW204" s="27"/>
      <c r="FX204" s="28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</row>
    <row r="205" spans="1:220" ht="15.75" customHeight="1" x14ac:dyDescent="0.2">
      <c r="A205" s="57">
        <v>43732.505150462966</v>
      </c>
      <c r="B205" s="26">
        <v>596344</v>
      </c>
      <c r="C205" s="26">
        <v>253.92</v>
      </c>
      <c r="D205" s="86" t="s">
        <v>267</v>
      </c>
      <c r="E205" s="32">
        <f t="shared" si="13"/>
        <v>0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58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6">
        <v>91.92</v>
      </c>
      <c r="EG205" s="25"/>
      <c r="EH205" s="26">
        <v>57</v>
      </c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6">
        <v>55</v>
      </c>
      <c r="FB205" s="26">
        <v>50</v>
      </c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7"/>
      <c r="FW205" s="27"/>
      <c r="FX205" s="28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</row>
    <row r="206" spans="1:220" ht="15.75" customHeight="1" x14ac:dyDescent="0.2">
      <c r="A206" s="57">
        <v>43732.505150462966</v>
      </c>
      <c r="B206" s="26">
        <v>596344</v>
      </c>
      <c r="C206" s="26">
        <v>264.14</v>
      </c>
      <c r="D206" s="86" t="s">
        <v>268</v>
      </c>
      <c r="E206" s="32">
        <f t="shared" si="13"/>
        <v>0</v>
      </c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58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6">
        <v>97.14</v>
      </c>
      <c r="EG206" s="26">
        <v>43</v>
      </c>
      <c r="EH206" s="26">
        <v>53</v>
      </c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6">
        <v>20</v>
      </c>
      <c r="FB206" s="26">
        <v>51</v>
      </c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7"/>
      <c r="FW206" s="27"/>
      <c r="FX206" s="28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</row>
    <row r="207" spans="1:220" ht="15.75" customHeight="1" x14ac:dyDescent="0.2">
      <c r="A207" s="57">
        <v>43732.505150462966</v>
      </c>
      <c r="B207" s="26">
        <v>596344</v>
      </c>
      <c r="C207" s="26">
        <v>221.5</v>
      </c>
      <c r="D207" s="86" t="s">
        <v>269</v>
      </c>
      <c r="E207" s="32">
        <f t="shared" si="13"/>
        <v>0</v>
      </c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58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6">
        <v>72.5</v>
      </c>
      <c r="EF207" s="26">
        <v>31</v>
      </c>
      <c r="EG207" s="25"/>
      <c r="EH207" s="26">
        <v>52</v>
      </c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6">
        <v>66</v>
      </c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7"/>
      <c r="FW207" s="27"/>
      <c r="FX207" s="28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</row>
    <row r="208" spans="1:220" ht="15.75" customHeight="1" x14ac:dyDescent="0.2">
      <c r="A208" s="57">
        <v>43732.505150462966</v>
      </c>
      <c r="B208" s="26">
        <v>596344</v>
      </c>
      <c r="C208" s="26">
        <v>268.2</v>
      </c>
      <c r="D208" s="86" t="s">
        <v>270</v>
      </c>
      <c r="E208" s="32">
        <f t="shared" si="13"/>
        <v>0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58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6">
        <v>72.2</v>
      </c>
      <c r="EG208" s="26">
        <v>55</v>
      </c>
      <c r="EH208" s="26">
        <v>50</v>
      </c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6">
        <v>36</v>
      </c>
      <c r="FB208" s="26">
        <v>55</v>
      </c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7"/>
      <c r="FW208" s="27"/>
      <c r="FX208" s="28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</row>
    <row r="209" spans="1:220" ht="15.75" customHeight="1" x14ac:dyDescent="0.2">
      <c r="A209" s="57">
        <v>43732.505150462966</v>
      </c>
      <c r="B209" s="26">
        <v>596344</v>
      </c>
      <c r="C209" s="26">
        <v>280.5</v>
      </c>
      <c r="D209" s="86" t="s">
        <v>271</v>
      </c>
      <c r="E209" s="32">
        <f t="shared" si="13"/>
        <v>0</v>
      </c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58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6">
        <v>160.5</v>
      </c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6">
        <v>95</v>
      </c>
      <c r="EY209" s="25"/>
      <c r="EZ209" s="25"/>
      <c r="FA209" s="26">
        <v>25</v>
      </c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7"/>
      <c r="FW209" s="27"/>
      <c r="FX209" s="28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</row>
    <row r="210" spans="1:220" ht="15.75" customHeight="1" x14ac:dyDescent="0.2">
      <c r="A210" s="57">
        <v>43732.505150462966</v>
      </c>
      <c r="B210" s="26">
        <v>596344</v>
      </c>
      <c r="C210" s="26">
        <v>234</v>
      </c>
      <c r="D210" s="86" t="s">
        <v>272</v>
      </c>
      <c r="E210" s="32">
        <f t="shared" si="13"/>
        <v>0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58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6">
        <f>54+46</f>
        <v>100</v>
      </c>
      <c r="EG210" s="26">
        <v>45</v>
      </c>
      <c r="EH210" s="26">
        <v>52</v>
      </c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6">
        <v>37</v>
      </c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7"/>
      <c r="FW210" s="27"/>
      <c r="FX210" s="28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</row>
    <row r="211" spans="1:220" ht="15.75" customHeight="1" x14ac:dyDescent="0.2">
      <c r="A211" s="57">
        <v>43732.505150462966</v>
      </c>
      <c r="B211" s="26">
        <v>596344</v>
      </c>
      <c r="C211" s="26">
        <v>237.37</v>
      </c>
      <c r="D211" s="86" t="s">
        <v>273</v>
      </c>
      <c r="E211" s="32">
        <f t="shared" si="13"/>
        <v>9.9999999999909051E-3</v>
      </c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58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6">
        <v>138.36000000000001</v>
      </c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6">
        <v>99</v>
      </c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7"/>
      <c r="FW211" s="27"/>
      <c r="FX211" s="28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</row>
    <row r="212" spans="1:220" ht="15.75" customHeight="1" x14ac:dyDescent="0.2">
      <c r="A212" s="57">
        <v>43732.505150462966</v>
      </c>
      <c r="B212" s="26">
        <v>596344</v>
      </c>
      <c r="C212" s="26">
        <v>264.10000000000002</v>
      </c>
      <c r="D212" s="86" t="s">
        <v>274</v>
      </c>
      <c r="E212" s="32">
        <f t="shared" si="13"/>
        <v>0.10000000000002274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58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6">
        <v>86</v>
      </c>
      <c r="EG212" s="26">
        <v>30</v>
      </c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6">
        <v>98</v>
      </c>
      <c r="FB212" s="26">
        <v>50</v>
      </c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7"/>
      <c r="FW212" s="27"/>
      <c r="FX212" s="28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</row>
    <row r="213" spans="1:220" ht="15.75" customHeight="1" x14ac:dyDescent="0.2">
      <c r="A213" s="57">
        <v>43732.505150462966</v>
      </c>
      <c r="B213" s="26">
        <v>596344</v>
      </c>
      <c r="C213" s="26">
        <v>259.95</v>
      </c>
      <c r="D213" s="86" t="s">
        <v>275</v>
      </c>
      <c r="E213" s="32">
        <f t="shared" si="13"/>
        <v>0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58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6">
        <v>77.95</v>
      </c>
      <c r="EF213" s="26">
        <v>35</v>
      </c>
      <c r="EG213" s="25"/>
      <c r="EH213" s="26">
        <v>31</v>
      </c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6">
        <v>62</v>
      </c>
      <c r="FB213" s="26">
        <v>54</v>
      </c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7"/>
      <c r="FW213" s="27"/>
      <c r="FX213" s="28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</row>
    <row r="214" spans="1:220" ht="15.75" customHeight="1" x14ac:dyDescent="0.2">
      <c r="A214" s="57">
        <v>43732.505150462966</v>
      </c>
      <c r="B214" s="26">
        <v>596344</v>
      </c>
      <c r="C214" s="26">
        <v>252.6</v>
      </c>
      <c r="D214" s="86" t="s">
        <v>276</v>
      </c>
      <c r="E214" s="32">
        <f t="shared" si="13"/>
        <v>0</v>
      </c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58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6">
        <f>11.6</f>
        <v>11.6</v>
      </c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6">
        <f>153+88</f>
        <v>241</v>
      </c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7"/>
      <c r="FW214" s="27"/>
      <c r="FX214" s="28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</row>
    <row r="215" spans="1:220" ht="15.75" customHeight="1" x14ac:dyDescent="0.2">
      <c r="A215" s="57">
        <v>43732.505150462966</v>
      </c>
      <c r="B215" s="26">
        <v>596344</v>
      </c>
      <c r="C215" s="26">
        <v>260.60000000000002</v>
      </c>
      <c r="D215" s="86" t="s">
        <v>277</v>
      </c>
      <c r="E215" s="32">
        <f t="shared" si="13"/>
        <v>0</v>
      </c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6">
        <f>42+51.6</f>
        <v>93.6</v>
      </c>
      <c r="EG215" s="25"/>
      <c r="EH215" s="26">
        <v>47</v>
      </c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6">
        <v>61</v>
      </c>
      <c r="FB215" s="26">
        <v>59</v>
      </c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7"/>
      <c r="FW215" s="27"/>
      <c r="FX215" s="28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</row>
    <row r="216" spans="1:220" ht="15.75" customHeight="1" x14ac:dyDescent="0.2">
      <c r="A216" s="57">
        <v>43732.505150462966</v>
      </c>
      <c r="B216" s="26">
        <v>596344</v>
      </c>
      <c r="C216" s="26">
        <v>231.1</v>
      </c>
      <c r="D216" s="86" t="s">
        <v>278</v>
      </c>
      <c r="E216" s="32">
        <f t="shared" si="13"/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58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6">
        <f>52+64.1</f>
        <v>116.1</v>
      </c>
      <c r="EG216" s="26">
        <v>35</v>
      </c>
      <c r="EH216" s="26">
        <v>35</v>
      </c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6">
        <v>45</v>
      </c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7"/>
      <c r="FW216" s="27"/>
      <c r="FX216" s="28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</row>
    <row r="217" spans="1:220" ht="15.75" customHeight="1" x14ac:dyDescent="0.2">
      <c r="A217" s="57">
        <v>43732.505150462966</v>
      </c>
      <c r="B217" s="26">
        <v>596344</v>
      </c>
      <c r="C217" s="26">
        <v>229.71</v>
      </c>
      <c r="D217" s="86" t="s">
        <v>279</v>
      </c>
      <c r="E217" s="32">
        <f t="shared" si="13"/>
        <v>0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58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6">
        <v>26.71</v>
      </c>
      <c r="EF217" s="26">
        <v>98</v>
      </c>
      <c r="EG217" s="25"/>
      <c r="EH217" s="26">
        <v>38</v>
      </c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6">
        <v>67</v>
      </c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7"/>
      <c r="FW217" s="27"/>
      <c r="FX217" s="28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</row>
    <row r="218" spans="1:220" ht="15.75" customHeight="1" x14ac:dyDescent="0.2">
      <c r="A218" s="57">
        <v>43732.505150462966</v>
      </c>
      <c r="B218" s="26">
        <v>596344</v>
      </c>
      <c r="C218" s="26">
        <v>255.1</v>
      </c>
      <c r="D218" s="86" t="s">
        <v>280</v>
      </c>
      <c r="E218" s="32">
        <f t="shared" si="13"/>
        <v>0</v>
      </c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58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6">
        <v>93.1</v>
      </c>
      <c r="EG218" s="25"/>
      <c r="EH218" s="26">
        <v>49</v>
      </c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6">
        <v>51</v>
      </c>
      <c r="FB218" s="26">
        <v>62</v>
      </c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7"/>
      <c r="FW218" s="27"/>
      <c r="FX218" s="28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</row>
    <row r="219" spans="1:220" ht="15.75" customHeight="1" x14ac:dyDescent="0.2">
      <c r="A219" s="57">
        <v>43732.505150462966</v>
      </c>
      <c r="B219" s="26">
        <v>596344</v>
      </c>
      <c r="C219" s="26">
        <v>253.4</v>
      </c>
      <c r="D219" s="86" t="s">
        <v>281</v>
      </c>
      <c r="E219" s="32">
        <f t="shared" si="13"/>
        <v>0</v>
      </c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58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6">
        <v>91.4</v>
      </c>
      <c r="EG219" s="25"/>
      <c r="EH219" s="26">
        <v>30</v>
      </c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6">
        <f>99+33</f>
        <v>132</v>
      </c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7"/>
      <c r="FW219" s="27"/>
      <c r="FX219" s="28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</row>
    <row r="220" spans="1:220" ht="15.75" customHeight="1" x14ac:dyDescent="0.2">
      <c r="A220" s="57">
        <v>43732.505150462966</v>
      </c>
      <c r="B220" s="26">
        <v>596344</v>
      </c>
      <c r="C220" s="26">
        <v>273.89999999999998</v>
      </c>
      <c r="D220" s="86" t="s">
        <v>282</v>
      </c>
      <c r="E220" s="32">
        <f t="shared" si="13"/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58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6">
        <v>88.9</v>
      </c>
      <c r="EF220" s="26">
        <v>32</v>
      </c>
      <c r="EG220" s="26">
        <v>49</v>
      </c>
      <c r="EH220" s="26">
        <v>51</v>
      </c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6">
        <v>43</v>
      </c>
      <c r="FB220" s="26">
        <v>10</v>
      </c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7"/>
      <c r="FW220" s="27"/>
      <c r="FX220" s="28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</row>
    <row r="221" spans="1:220" ht="15.75" customHeight="1" x14ac:dyDescent="0.2">
      <c r="A221" s="57">
        <v>43732.505150462966</v>
      </c>
      <c r="B221" s="26">
        <v>596344</v>
      </c>
      <c r="C221" s="26">
        <v>274.7</v>
      </c>
      <c r="D221" s="86" t="s">
        <v>283</v>
      </c>
      <c r="E221" s="32">
        <f t="shared" si="13"/>
        <v>0</v>
      </c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58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6">
        <v>167.7</v>
      </c>
      <c r="EG221" s="26">
        <v>20</v>
      </c>
      <c r="EH221" s="26">
        <v>35</v>
      </c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6">
        <v>52</v>
      </c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7"/>
      <c r="FW221" s="27"/>
      <c r="FX221" s="28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</row>
    <row r="222" spans="1:220" ht="15.75" customHeight="1" x14ac:dyDescent="0.2">
      <c r="A222" s="57">
        <v>43732.505150462966</v>
      </c>
      <c r="B222" s="26">
        <v>596344</v>
      </c>
      <c r="C222" s="26">
        <v>251.1</v>
      </c>
      <c r="D222" s="86" t="s">
        <v>284</v>
      </c>
      <c r="E222" s="32">
        <f t="shared" si="13"/>
        <v>0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58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6">
        <v>54.1</v>
      </c>
      <c r="EF222" s="26">
        <f>45+29</f>
        <v>74</v>
      </c>
      <c r="EG222" s="25"/>
      <c r="EH222" s="26">
        <v>30</v>
      </c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6">
        <f>67+26</f>
        <v>93</v>
      </c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7"/>
      <c r="FW222" s="27"/>
      <c r="FX222" s="28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</row>
    <row r="223" spans="1:220" ht="15.75" customHeight="1" x14ac:dyDescent="0.2">
      <c r="A223" s="57">
        <v>43730.367013888892</v>
      </c>
      <c r="B223" s="26">
        <v>596049</v>
      </c>
      <c r="C223" s="26">
        <v>252.59</v>
      </c>
      <c r="D223" s="86" t="s">
        <v>285</v>
      </c>
      <c r="E223" s="32">
        <f t="shared" si="13"/>
        <v>1.0000000000019327E-2</v>
      </c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58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6">
        <v>61.58</v>
      </c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6">
        <f>20+40+50</f>
        <v>110</v>
      </c>
      <c r="FP223" s="26">
        <f>51+30</f>
        <v>81</v>
      </c>
      <c r="FQ223" s="25"/>
      <c r="FR223" s="25"/>
      <c r="FS223" s="25"/>
      <c r="FT223" s="25"/>
      <c r="FU223" s="25"/>
      <c r="FV223" s="27"/>
      <c r="FW223" s="27"/>
      <c r="FX223" s="28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</row>
    <row r="224" spans="1:220" ht="15.75" customHeight="1" x14ac:dyDescent="0.2">
      <c r="A224" s="57">
        <v>43730.367013888892</v>
      </c>
      <c r="B224" s="26">
        <v>596049</v>
      </c>
      <c r="C224" s="26">
        <v>257.83999999999997</v>
      </c>
      <c r="D224" s="86" t="s">
        <v>286</v>
      </c>
      <c r="E224" s="32">
        <f t="shared" si="13"/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58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6">
        <v>43.84</v>
      </c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6">
        <v>141</v>
      </c>
      <c r="FP224" s="26">
        <f>28+45</f>
        <v>73</v>
      </c>
      <c r="FQ224" s="25"/>
      <c r="FR224" s="25"/>
      <c r="FS224" s="25"/>
      <c r="FT224" s="25"/>
      <c r="FU224" s="25"/>
      <c r="FV224" s="27"/>
      <c r="FW224" s="27"/>
      <c r="FX224" s="28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</row>
    <row r="225" spans="1:220" ht="15.75" customHeight="1" x14ac:dyDescent="0.2">
      <c r="A225" s="57">
        <v>43730.367013888892</v>
      </c>
      <c r="B225" s="26">
        <v>596049</v>
      </c>
      <c r="C225" s="26">
        <v>250.34</v>
      </c>
      <c r="D225" s="86" t="s">
        <v>287</v>
      </c>
      <c r="E225" s="32">
        <f t="shared" si="13"/>
        <v>0</v>
      </c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58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6">
        <v>9.34</v>
      </c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6">
        <f>50+44+65</f>
        <v>159</v>
      </c>
      <c r="FP225" s="26">
        <f>55+27</f>
        <v>82</v>
      </c>
      <c r="FQ225" s="25"/>
      <c r="FR225" s="25"/>
      <c r="FS225" s="25"/>
      <c r="FT225" s="25"/>
      <c r="FU225" s="25"/>
      <c r="FV225" s="27"/>
      <c r="FW225" s="27"/>
      <c r="FX225" s="28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</row>
    <row r="226" spans="1:220" ht="15.75" customHeight="1" x14ac:dyDescent="0.2">
      <c r="A226" s="57">
        <v>43730.367013888892</v>
      </c>
      <c r="B226" s="26">
        <v>596049</v>
      </c>
      <c r="C226" s="26">
        <v>260.23</v>
      </c>
      <c r="D226" s="86" t="s">
        <v>288</v>
      </c>
      <c r="E226" s="32">
        <f t="shared" si="13"/>
        <v>0</v>
      </c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58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6">
        <v>44.23</v>
      </c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6">
        <v>124</v>
      </c>
      <c r="FP226" s="26">
        <f>26+66</f>
        <v>92</v>
      </c>
      <c r="FQ226" s="25"/>
      <c r="FR226" s="25"/>
      <c r="FS226" s="25"/>
      <c r="FT226" s="25"/>
      <c r="FU226" s="25"/>
      <c r="FV226" s="27"/>
      <c r="FW226" s="27"/>
      <c r="FX226" s="28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</row>
    <row r="227" spans="1:220" ht="15.75" customHeight="1" x14ac:dyDescent="0.2">
      <c r="A227" s="57">
        <v>43730.367013888892</v>
      </c>
      <c r="B227" s="26">
        <v>596049</v>
      </c>
      <c r="C227" s="26">
        <v>266.3</v>
      </c>
      <c r="D227" s="86" t="s">
        <v>289</v>
      </c>
      <c r="E227" s="32">
        <f t="shared" si="13"/>
        <v>0</v>
      </c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58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6">
        <v>37.299999999999997</v>
      </c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6">
        <f>28+91</f>
        <v>119</v>
      </c>
      <c r="FP227" s="26">
        <v>45</v>
      </c>
      <c r="FQ227" s="26">
        <v>65</v>
      </c>
      <c r="FR227" s="25"/>
      <c r="FS227" s="25"/>
      <c r="FT227" s="25"/>
      <c r="FU227" s="25"/>
      <c r="FV227" s="27"/>
      <c r="FW227" s="27"/>
      <c r="FX227" s="28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</row>
    <row r="228" spans="1:220" ht="15.75" customHeight="1" x14ac:dyDescent="0.2">
      <c r="A228" s="57">
        <v>43730.367013888892</v>
      </c>
      <c r="B228" s="26">
        <v>596049</v>
      </c>
      <c r="C228" s="26">
        <v>257.7</v>
      </c>
      <c r="D228" s="86" t="s">
        <v>290</v>
      </c>
      <c r="E228" s="32">
        <f t="shared" si="13"/>
        <v>1.999999999998181E-2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58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6">
        <v>54.68</v>
      </c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6">
        <f>40+49</f>
        <v>89</v>
      </c>
      <c r="FP228" s="26">
        <v>114</v>
      </c>
      <c r="FQ228" s="25"/>
      <c r="FR228" s="25"/>
      <c r="FS228" s="25"/>
      <c r="FT228" s="25"/>
      <c r="FU228" s="25"/>
      <c r="FV228" s="27"/>
      <c r="FW228" s="27"/>
      <c r="FX228" s="28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</row>
    <row r="229" spans="1:220" ht="15.75" customHeight="1" x14ac:dyDescent="0.2">
      <c r="A229" s="57">
        <v>43730.367013888892</v>
      </c>
      <c r="B229" s="26">
        <v>596049</v>
      </c>
      <c r="C229" s="26">
        <v>255.9</v>
      </c>
      <c r="D229" s="86" t="s">
        <v>291</v>
      </c>
      <c r="E229" s="32">
        <f t="shared" si="13"/>
        <v>0</v>
      </c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58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6">
        <v>49.9</v>
      </c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6">
        <f>51+55</f>
        <v>106</v>
      </c>
      <c r="FP229" s="26">
        <f>61+39</f>
        <v>100</v>
      </c>
      <c r="FQ229" s="25"/>
      <c r="FR229" s="25"/>
      <c r="FS229" s="25"/>
      <c r="FT229" s="25"/>
      <c r="FU229" s="25"/>
      <c r="FV229" s="27"/>
      <c r="FW229" s="27"/>
      <c r="FX229" s="28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</row>
    <row r="230" spans="1:220" ht="15.75" customHeight="1" x14ac:dyDescent="0.2">
      <c r="A230" s="57">
        <v>43730.367013888892</v>
      </c>
      <c r="B230" s="26">
        <v>596049</v>
      </c>
      <c r="C230" s="26">
        <v>244.48</v>
      </c>
      <c r="D230" s="86" t="s">
        <v>292</v>
      </c>
      <c r="E230" s="32">
        <f t="shared" si="13"/>
        <v>0</v>
      </c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58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6">
        <v>40.479999999999997</v>
      </c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6">
        <v>140</v>
      </c>
      <c r="FP230" s="26">
        <f>35+29</f>
        <v>64</v>
      </c>
      <c r="FQ230" s="25"/>
      <c r="FR230" s="25"/>
      <c r="FS230" s="25"/>
      <c r="FT230" s="25"/>
      <c r="FU230" s="25"/>
      <c r="FV230" s="27"/>
      <c r="FW230" s="27"/>
      <c r="FX230" s="28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</row>
    <row r="231" spans="1:220" ht="15.75" customHeight="1" x14ac:dyDescent="0.2">
      <c r="A231" s="58">
        <v>43730.358495370368</v>
      </c>
      <c r="B231" s="26">
        <v>596048</v>
      </c>
      <c r="C231" s="26">
        <v>272.02</v>
      </c>
      <c r="D231" s="86" t="s">
        <v>293</v>
      </c>
      <c r="E231" s="32">
        <f t="shared" si="13"/>
        <v>0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58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6">
        <v>55.96</v>
      </c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6">
        <f>75+42</f>
        <v>117</v>
      </c>
      <c r="FP231" s="26">
        <v>80</v>
      </c>
      <c r="FQ231" s="26">
        <v>19.059999999999999</v>
      </c>
      <c r="FR231" s="25"/>
      <c r="FS231" s="25"/>
      <c r="FT231" s="25"/>
      <c r="FU231" s="25"/>
      <c r="FV231" s="27"/>
      <c r="FW231" s="27"/>
      <c r="FX231" s="28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</row>
    <row r="232" spans="1:220" ht="15.75" customHeight="1" x14ac:dyDescent="0.2">
      <c r="A232" s="58">
        <v>43730.358495370368</v>
      </c>
      <c r="B232" s="26">
        <v>596048</v>
      </c>
      <c r="C232" s="26">
        <v>230.09</v>
      </c>
      <c r="D232" s="86" t="s">
        <v>294</v>
      </c>
      <c r="E232" s="32">
        <f t="shared" si="13"/>
        <v>0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58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6">
        <v>60.09</v>
      </c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6">
        <f>36+53+30</f>
        <v>119</v>
      </c>
      <c r="FP232" s="26">
        <v>51</v>
      </c>
      <c r="FQ232" s="25"/>
      <c r="FR232" s="25"/>
      <c r="FS232" s="25"/>
      <c r="FT232" s="25"/>
      <c r="FU232" s="25"/>
      <c r="FV232" s="27"/>
      <c r="FW232" s="27"/>
      <c r="FX232" s="28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</row>
    <row r="233" spans="1:220" ht="15.75" customHeight="1" x14ac:dyDescent="0.2">
      <c r="A233" s="58">
        <v>43730.349143518521</v>
      </c>
      <c r="B233" s="26">
        <v>596047</v>
      </c>
      <c r="C233" s="26">
        <v>253.95</v>
      </c>
      <c r="D233" s="86" t="s">
        <v>295</v>
      </c>
      <c r="E233" s="32">
        <f t="shared" si="13"/>
        <v>0</v>
      </c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58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6">
        <v>25.95</v>
      </c>
      <c r="FB233" s="26">
        <v>38</v>
      </c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6">
        <f>74+35</f>
        <v>109</v>
      </c>
      <c r="FP233" s="26">
        <f>30+51</f>
        <v>81</v>
      </c>
      <c r="FQ233" s="25"/>
      <c r="FR233" s="25"/>
      <c r="FS233" s="25"/>
      <c r="FT233" s="25"/>
      <c r="FU233" s="25"/>
      <c r="FV233" s="27"/>
      <c r="FW233" s="27"/>
      <c r="FX233" s="28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</row>
    <row r="234" spans="1:220" ht="15.75" customHeight="1" x14ac:dyDescent="0.2">
      <c r="A234" s="58">
        <v>43730.349143518521</v>
      </c>
      <c r="B234" s="26">
        <v>596047</v>
      </c>
      <c r="C234" s="26">
        <v>236.97</v>
      </c>
      <c r="D234" s="86" t="s">
        <v>296</v>
      </c>
      <c r="E234" s="32">
        <f t="shared" si="13"/>
        <v>0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58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6">
        <v>26.97</v>
      </c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6">
        <f>41+73+46</f>
        <v>160</v>
      </c>
      <c r="FP234" s="26">
        <v>50</v>
      </c>
      <c r="FQ234" s="25"/>
      <c r="FR234" s="25"/>
      <c r="FS234" s="25"/>
      <c r="FT234" s="25"/>
      <c r="FU234" s="25"/>
      <c r="FV234" s="27"/>
      <c r="FW234" s="27"/>
      <c r="FX234" s="28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</row>
    <row r="235" spans="1:220" ht="15.75" customHeight="1" x14ac:dyDescent="0.2">
      <c r="A235" s="58">
        <v>43730.349143518521</v>
      </c>
      <c r="B235" s="26">
        <v>596047</v>
      </c>
      <c r="C235" s="26">
        <v>243.39</v>
      </c>
      <c r="D235" s="86" t="s">
        <v>297</v>
      </c>
      <c r="E235" s="32">
        <f t="shared" si="13"/>
        <v>0</v>
      </c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58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6">
        <v>27.39</v>
      </c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6">
        <f>42+82+47</f>
        <v>171</v>
      </c>
      <c r="FP235" s="26">
        <v>45</v>
      </c>
      <c r="FQ235" s="25"/>
      <c r="FR235" s="25"/>
      <c r="FS235" s="25"/>
      <c r="FT235" s="25"/>
      <c r="FU235" s="25"/>
      <c r="FV235" s="27"/>
      <c r="FW235" s="27"/>
      <c r="FX235" s="28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</row>
    <row r="236" spans="1:220" ht="15.75" customHeight="1" x14ac:dyDescent="0.2">
      <c r="A236" s="58">
        <v>43730.349143518521</v>
      </c>
      <c r="B236" s="26">
        <v>596047</v>
      </c>
      <c r="C236" s="26">
        <v>249.19</v>
      </c>
      <c r="D236" s="86" t="s">
        <v>298</v>
      </c>
      <c r="E236" s="32">
        <f t="shared" si="13"/>
        <v>0</v>
      </c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58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6">
        <v>35.19</v>
      </c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6">
        <f>40+75</f>
        <v>115</v>
      </c>
      <c r="FP236" s="26">
        <v>99</v>
      </c>
      <c r="FQ236" s="25"/>
      <c r="FR236" s="25"/>
      <c r="FS236" s="25"/>
      <c r="FT236" s="25"/>
      <c r="FU236" s="25"/>
      <c r="FV236" s="27"/>
      <c r="FW236" s="27"/>
      <c r="FX236" s="28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</row>
    <row r="237" spans="1:220" ht="15.75" customHeight="1" x14ac:dyDescent="0.2">
      <c r="A237" s="58">
        <v>43730.349143518521</v>
      </c>
      <c r="B237" s="26">
        <v>596047</v>
      </c>
      <c r="C237" s="26">
        <v>278.77999999999997</v>
      </c>
      <c r="D237" s="86" t="s">
        <v>299</v>
      </c>
      <c r="E237" s="32">
        <f t="shared" si="13"/>
        <v>0</v>
      </c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58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6">
        <v>30.78</v>
      </c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6">
        <f>50+50+52</f>
        <v>152</v>
      </c>
      <c r="FP237" s="26">
        <v>20</v>
      </c>
      <c r="FQ237" s="26">
        <v>76</v>
      </c>
      <c r="FR237" s="25"/>
      <c r="FS237" s="25"/>
      <c r="FT237" s="25"/>
      <c r="FU237" s="25"/>
      <c r="FV237" s="27"/>
      <c r="FW237" s="27"/>
      <c r="FX237" s="28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</row>
    <row r="238" spans="1:220" ht="15.75" customHeight="1" x14ac:dyDescent="0.2">
      <c r="A238" s="58">
        <v>43730.349143518521</v>
      </c>
      <c r="B238" s="26">
        <v>596047</v>
      </c>
      <c r="C238" s="26">
        <v>254.66</v>
      </c>
      <c r="D238" s="86" t="s">
        <v>300</v>
      </c>
      <c r="E238" s="32">
        <f t="shared" si="13"/>
        <v>0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58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6">
        <v>5.66</v>
      </c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6">
        <f>89+42</f>
        <v>131</v>
      </c>
      <c r="FP238" s="26">
        <f>62+56</f>
        <v>118</v>
      </c>
      <c r="FQ238" s="25"/>
      <c r="FR238" s="25"/>
      <c r="FS238" s="25"/>
      <c r="FT238" s="25"/>
      <c r="FU238" s="25"/>
      <c r="FV238" s="27"/>
      <c r="FW238" s="27"/>
      <c r="FX238" s="28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</row>
    <row r="239" spans="1:220" ht="15.75" customHeight="1" x14ac:dyDescent="0.2">
      <c r="A239" s="58">
        <v>43730.349143518521</v>
      </c>
      <c r="B239" s="26">
        <v>596047</v>
      </c>
      <c r="C239" s="26">
        <v>239.17</v>
      </c>
      <c r="D239" s="86" t="s">
        <v>301</v>
      </c>
      <c r="E239" s="32">
        <f t="shared" si="13"/>
        <v>0</v>
      </c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58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6">
        <v>48.17</v>
      </c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6">
        <f>48+43+50</f>
        <v>141</v>
      </c>
      <c r="FP239" s="26">
        <v>50</v>
      </c>
      <c r="FQ239" s="25"/>
      <c r="FR239" s="25"/>
      <c r="FS239" s="25"/>
      <c r="FT239" s="25"/>
      <c r="FU239" s="25"/>
      <c r="FV239" s="27"/>
      <c r="FW239" s="27"/>
      <c r="FX239" s="28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</row>
    <row r="240" spans="1:220" ht="15.75" customHeight="1" x14ac:dyDescent="0.2">
      <c r="A240" s="58">
        <v>43730.349143518521</v>
      </c>
      <c r="B240" s="26">
        <v>596047</v>
      </c>
      <c r="C240" s="26">
        <v>236.19</v>
      </c>
      <c r="D240" s="86" t="s">
        <v>302</v>
      </c>
      <c r="E240" s="32">
        <f t="shared" si="13"/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58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6">
        <v>35.19</v>
      </c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6">
        <f>50+50+51</f>
        <v>151</v>
      </c>
      <c r="FP240" s="26">
        <v>50</v>
      </c>
      <c r="FQ240" s="25"/>
      <c r="FR240" s="25"/>
      <c r="FS240" s="25"/>
      <c r="FT240" s="25"/>
      <c r="FU240" s="25"/>
      <c r="FV240" s="27"/>
      <c r="FW240" s="27"/>
      <c r="FX240" s="28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</row>
    <row r="241" spans="1:220" ht="15.75" customHeight="1" x14ac:dyDescent="0.2">
      <c r="A241" s="58">
        <v>43730.349143518521</v>
      </c>
      <c r="B241" s="26">
        <v>596047</v>
      </c>
      <c r="C241" s="26">
        <v>236.02</v>
      </c>
      <c r="D241" s="86" t="s">
        <v>303</v>
      </c>
      <c r="E241" s="32">
        <f t="shared" si="13"/>
        <v>0</v>
      </c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58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6">
        <v>51.02</v>
      </c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6">
        <f>54+43+48</f>
        <v>145</v>
      </c>
      <c r="FP241" s="26">
        <v>40</v>
      </c>
      <c r="FQ241" s="25"/>
      <c r="FR241" s="25"/>
      <c r="FS241" s="25"/>
      <c r="FT241" s="25"/>
      <c r="FU241" s="25"/>
      <c r="FV241" s="27"/>
      <c r="FW241" s="27"/>
      <c r="FX241" s="28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</row>
    <row r="242" spans="1:220" ht="15.75" customHeight="1" x14ac:dyDescent="0.2">
      <c r="A242" s="58">
        <v>43730.349143518521</v>
      </c>
      <c r="B242" s="26">
        <v>596047</v>
      </c>
      <c r="C242" s="26">
        <v>230.57</v>
      </c>
      <c r="D242" s="86" t="s">
        <v>304</v>
      </c>
      <c r="E242" s="32">
        <f t="shared" si="13"/>
        <v>0</v>
      </c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58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6">
        <v>42.57</v>
      </c>
      <c r="FB242" s="26">
        <v>36</v>
      </c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6">
        <v>125</v>
      </c>
      <c r="FP242" s="26">
        <v>27</v>
      </c>
      <c r="FQ242" s="25"/>
      <c r="FR242" s="25"/>
      <c r="FS242" s="25"/>
      <c r="FT242" s="25"/>
      <c r="FU242" s="25"/>
      <c r="FV242" s="27"/>
      <c r="FW242" s="27"/>
      <c r="FX242" s="28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</row>
    <row r="243" spans="1:220" ht="15.75" customHeight="1" x14ac:dyDescent="0.2">
      <c r="A243" s="57">
        <v>43729.624560185184</v>
      </c>
      <c r="B243" s="26">
        <v>595933</v>
      </c>
      <c r="C243" s="26">
        <v>196.4</v>
      </c>
      <c r="D243" s="86" t="s">
        <v>305</v>
      </c>
      <c r="E243" s="32">
        <f t="shared" si="13"/>
        <v>0</v>
      </c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6">
        <v>165.4</v>
      </c>
      <c r="FR243" s="26">
        <v>31</v>
      </c>
      <c r="FS243" s="25"/>
      <c r="FT243" s="25"/>
      <c r="FU243" s="25"/>
      <c r="FV243" s="27"/>
      <c r="FW243" s="27"/>
      <c r="FX243" s="28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</row>
    <row r="244" spans="1:220" ht="15.75" customHeight="1" x14ac:dyDescent="0.2">
      <c r="A244" s="57">
        <v>43729.621782407405</v>
      </c>
      <c r="B244" s="26">
        <v>595932</v>
      </c>
      <c r="C244" s="26">
        <v>208</v>
      </c>
      <c r="D244" s="86" t="s">
        <v>306</v>
      </c>
      <c r="E244" s="32">
        <f t="shared" si="13"/>
        <v>0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6">
        <v>72</v>
      </c>
      <c r="FR244" s="26">
        <f>40+65+31</f>
        <v>136</v>
      </c>
      <c r="FS244" s="25"/>
      <c r="FT244" s="25"/>
      <c r="FU244" s="25"/>
      <c r="FV244" s="27"/>
      <c r="FW244" s="27"/>
      <c r="FX244" s="28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</row>
    <row r="245" spans="1:220" ht="15.75" customHeight="1" x14ac:dyDescent="0.2">
      <c r="A245" s="57">
        <v>43729.621782407405</v>
      </c>
      <c r="B245" s="26">
        <v>595932</v>
      </c>
      <c r="C245" s="26">
        <v>211.2</v>
      </c>
      <c r="D245" s="86" t="s">
        <v>307</v>
      </c>
      <c r="E245" s="32">
        <f t="shared" si="13"/>
        <v>0</v>
      </c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6">
        <v>96.2</v>
      </c>
      <c r="FR245" s="26">
        <f>51+64</f>
        <v>115</v>
      </c>
      <c r="FS245" s="25"/>
      <c r="FT245" s="25"/>
      <c r="FU245" s="25"/>
      <c r="FV245" s="27"/>
      <c r="FW245" s="27"/>
      <c r="FX245" s="28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</row>
    <row r="246" spans="1:220" ht="15.75" customHeight="1" x14ac:dyDescent="0.2">
      <c r="A246" s="57">
        <v>43729.621782407405</v>
      </c>
      <c r="B246" s="26">
        <v>595932</v>
      </c>
      <c r="C246" s="26">
        <v>199.4</v>
      </c>
      <c r="D246" s="86" t="s">
        <v>308</v>
      </c>
      <c r="E246" s="32">
        <f t="shared" si="13"/>
        <v>0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6">
        <v>72.400000000000006</v>
      </c>
      <c r="FR246" s="26">
        <f>95+32</f>
        <v>127</v>
      </c>
      <c r="FS246" s="25"/>
      <c r="FT246" s="25"/>
      <c r="FU246" s="25"/>
      <c r="FV246" s="27"/>
      <c r="FW246" s="27"/>
      <c r="FX246" s="28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</row>
    <row r="247" spans="1:220" ht="15.75" customHeight="1" x14ac:dyDescent="0.2">
      <c r="A247" s="57">
        <v>43729.621782407405</v>
      </c>
      <c r="B247" s="26">
        <v>595932</v>
      </c>
      <c r="C247" s="26">
        <v>213.2</v>
      </c>
      <c r="D247" s="86" t="s">
        <v>309</v>
      </c>
      <c r="E247" s="32">
        <f t="shared" si="13"/>
        <v>0</v>
      </c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6">
        <v>148.19999999999999</v>
      </c>
      <c r="FR247" s="26">
        <v>65</v>
      </c>
      <c r="FS247" s="25"/>
      <c r="FT247" s="25"/>
      <c r="FU247" s="25"/>
      <c r="FV247" s="27"/>
      <c r="FW247" s="27"/>
      <c r="FX247" s="28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</row>
    <row r="248" spans="1:220" ht="15.75" customHeight="1" x14ac:dyDescent="0.2">
      <c r="A248" s="57">
        <v>43729.609930555554</v>
      </c>
      <c r="B248" s="26">
        <v>595931</v>
      </c>
      <c r="C248" s="26">
        <v>196.6</v>
      </c>
      <c r="D248" s="86" t="s">
        <v>310</v>
      </c>
      <c r="E248" s="32">
        <f t="shared" si="13"/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6">
        <v>98.6</v>
      </c>
      <c r="FR248" s="26">
        <f>68+30</f>
        <v>98</v>
      </c>
      <c r="FS248" s="25"/>
      <c r="FT248" s="25"/>
      <c r="FU248" s="25"/>
      <c r="FV248" s="27"/>
      <c r="FW248" s="27"/>
      <c r="FX248" s="28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</row>
    <row r="249" spans="1:220" ht="15.75" customHeight="1" x14ac:dyDescent="0.2">
      <c r="A249" s="57">
        <v>43729.609930555554</v>
      </c>
      <c r="B249" s="26">
        <v>595931</v>
      </c>
      <c r="C249" s="26">
        <v>202.7</v>
      </c>
      <c r="D249" s="86" t="s">
        <v>311</v>
      </c>
      <c r="E249" s="32">
        <f t="shared" si="13"/>
        <v>0</v>
      </c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6">
        <v>73.7</v>
      </c>
      <c r="FR249" s="26">
        <v>129</v>
      </c>
      <c r="FS249" s="25"/>
      <c r="FT249" s="25"/>
      <c r="FU249" s="25"/>
      <c r="FV249" s="27"/>
      <c r="FW249" s="27"/>
      <c r="FX249" s="28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</row>
    <row r="250" spans="1:220" ht="15.75" customHeight="1" x14ac:dyDescent="0.2">
      <c r="A250" s="57">
        <v>43729.609930555554</v>
      </c>
      <c r="B250" s="26">
        <v>595931</v>
      </c>
      <c r="C250" s="26">
        <v>198.2</v>
      </c>
      <c r="D250" s="86" t="s">
        <v>312</v>
      </c>
      <c r="E250" s="32">
        <f t="shared" si="13"/>
        <v>0</v>
      </c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6">
        <v>83.2</v>
      </c>
      <c r="FR250" s="26">
        <f>65+50</f>
        <v>115</v>
      </c>
      <c r="FS250" s="25"/>
      <c r="FT250" s="25"/>
      <c r="FU250" s="25"/>
      <c r="FV250" s="27"/>
      <c r="FW250" s="27"/>
      <c r="FX250" s="28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</row>
    <row r="251" spans="1:220" ht="15.75" customHeight="1" x14ac:dyDescent="0.2">
      <c r="A251" s="57">
        <v>43729.609930555554</v>
      </c>
      <c r="B251" s="26">
        <v>595931</v>
      </c>
      <c r="C251" s="26">
        <v>215.7</v>
      </c>
      <c r="D251" s="86" t="s">
        <v>313</v>
      </c>
      <c r="E251" s="32">
        <f t="shared" si="13"/>
        <v>0</v>
      </c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6">
        <v>96.7</v>
      </c>
      <c r="FR251" s="26">
        <f>50+69</f>
        <v>119</v>
      </c>
      <c r="FS251" s="25"/>
      <c r="FT251" s="25"/>
      <c r="FU251" s="25"/>
      <c r="FV251" s="27"/>
      <c r="FW251" s="27"/>
      <c r="FX251" s="28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</row>
    <row r="252" spans="1:220" ht="15.75" customHeight="1" x14ac:dyDescent="0.2">
      <c r="A252" s="57">
        <v>43728.034247685187</v>
      </c>
      <c r="B252" s="26">
        <v>595685</v>
      </c>
      <c r="C252" s="26">
        <v>198.55</v>
      </c>
      <c r="D252" s="86" t="s">
        <v>314</v>
      </c>
      <c r="E252" s="32">
        <f t="shared" si="13"/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6"/>
      <c r="FS252" s="26">
        <v>152.55000000000001</v>
      </c>
      <c r="FT252" s="26">
        <v>46</v>
      </c>
      <c r="FU252" s="25"/>
      <c r="FV252" s="27"/>
      <c r="FW252" s="27"/>
      <c r="FX252" s="28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</row>
    <row r="253" spans="1:220" ht="15.75" customHeight="1" x14ac:dyDescent="0.2">
      <c r="A253" s="57">
        <v>43728.034247685187</v>
      </c>
      <c r="B253" s="26">
        <v>595685</v>
      </c>
      <c r="C253" s="26">
        <v>206.27</v>
      </c>
      <c r="D253" s="86" t="s">
        <v>315</v>
      </c>
      <c r="E253" s="32">
        <f t="shared" ref="E253:E316" si="14">C253-SUM(AN253:HK253)</f>
        <v>0</v>
      </c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6"/>
      <c r="FS253" s="26">
        <v>140.27000000000001</v>
      </c>
      <c r="FT253" s="26">
        <v>66</v>
      </c>
      <c r="FU253" s="25"/>
      <c r="FV253" s="27"/>
      <c r="FW253" s="27"/>
      <c r="FX253" s="28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</row>
    <row r="254" spans="1:220" ht="15.75" customHeight="1" x14ac:dyDescent="0.2">
      <c r="A254" s="57">
        <v>43728.034247685187</v>
      </c>
      <c r="B254" s="26">
        <v>595685</v>
      </c>
      <c r="C254" s="26">
        <v>227.68</v>
      </c>
      <c r="D254" s="86" t="s">
        <v>316</v>
      </c>
      <c r="E254" s="32">
        <f t="shared" si="14"/>
        <v>0</v>
      </c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6"/>
      <c r="FS254" s="26">
        <v>187.68</v>
      </c>
      <c r="FT254" s="26"/>
      <c r="FU254" s="26">
        <v>40</v>
      </c>
      <c r="FV254" s="27"/>
      <c r="FW254" s="27"/>
      <c r="FX254" s="28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</row>
    <row r="255" spans="1:220" ht="15.75" customHeight="1" x14ac:dyDescent="0.2">
      <c r="A255" s="57">
        <v>43728.034247685187</v>
      </c>
      <c r="B255" s="26">
        <v>595685</v>
      </c>
      <c r="C255" s="26">
        <v>214.09</v>
      </c>
      <c r="D255" s="86" t="s">
        <v>317</v>
      </c>
      <c r="E255" s="32">
        <f t="shared" si="14"/>
        <v>0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6"/>
      <c r="FS255" s="26">
        <v>19.09</v>
      </c>
      <c r="FT255" s="26">
        <v>195</v>
      </c>
      <c r="FU255" s="25"/>
      <c r="FV255" s="27"/>
      <c r="FW255" s="27"/>
      <c r="FX255" s="28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</row>
    <row r="256" spans="1:220" ht="15.75" customHeight="1" x14ac:dyDescent="0.2">
      <c r="A256" s="57">
        <v>43728.034247685187</v>
      </c>
      <c r="B256" s="26">
        <v>595685</v>
      </c>
      <c r="C256" s="26">
        <v>235.32</v>
      </c>
      <c r="D256" s="86" t="s">
        <v>318</v>
      </c>
      <c r="E256" s="32">
        <f t="shared" si="14"/>
        <v>0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6">
        <v>17.32</v>
      </c>
      <c r="FS256" s="26">
        <v>151</v>
      </c>
      <c r="FT256" s="26"/>
      <c r="FU256" s="26">
        <v>67</v>
      </c>
      <c r="FV256" s="27"/>
      <c r="FW256" s="27"/>
      <c r="FX256" s="28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</row>
    <row r="257" spans="1:220" ht="15.75" customHeight="1" x14ac:dyDescent="0.2">
      <c r="A257" s="57">
        <v>43728.034247685187</v>
      </c>
      <c r="B257" s="26">
        <v>595685</v>
      </c>
      <c r="C257" s="26">
        <v>239.34</v>
      </c>
      <c r="D257" s="86" t="s">
        <v>319</v>
      </c>
      <c r="E257" s="32">
        <f t="shared" si="14"/>
        <v>0</v>
      </c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6"/>
      <c r="FS257" s="26">
        <v>149.34</v>
      </c>
      <c r="FT257" s="26"/>
      <c r="FU257" s="26">
        <v>90</v>
      </c>
      <c r="FV257" s="27"/>
      <c r="FW257" s="27"/>
      <c r="FX257" s="28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</row>
    <row r="258" spans="1:220" ht="15.75" customHeight="1" x14ac:dyDescent="0.2">
      <c r="A258" s="57">
        <v>43728.034247685187</v>
      </c>
      <c r="B258" s="26">
        <v>595685</v>
      </c>
      <c r="C258" s="26">
        <v>221.29</v>
      </c>
      <c r="D258" s="86" t="s">
        <v>320</v>
      </c>
      <c r="E258" s="32">
        <f t="shared" si="14"/>
        <v>0</v>
      </c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6"/>
      <c r="FS258" s="26">
        <v>166.29</v>
      </c>
      <c r="FT258" s="26"/>
      <c r="FU258" s="26">
        <v>55</v>
      </c>
      <c r="FV258" s="27"/>
      <c r="FW258" s="27"/>
      <c r="FX258" s="28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</row>
    <row r="259" spans="1:220" ht="15.75" customHeight="1" x14ac:dyDescent="0.2">
      <c r="A259" s="57">
        <v>43728.034247685187</v>
      </c>
      <c r="B259" s="26">
        <v>595685</v>
      </c>
      <c r="C259" s="26">
        <v>211.45</v>
      </c>
      <c r="D259" s="86" t="s">
        <v>321</v>
      </c>
      <c r="E259" s="32">
        <f t="shared" si="14"/>
        <v>0</v>
      </c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6">
        <v>19.45</v>
      </c>
      <c r="FS259" s="26">
        <f>40+32</f>
        <v>72</v>
      </c>
      <c r="FT259" s="26">
        <v>120</v>
      </c>
      <c r="FU259" s="25"/>
      <c r="FV259" s="27"/>
      <c r="FW259" s="27"/>
      <c r="FX259" s="28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</row>
    <row r="260" spans="1:220" ht="15.75" customHeight="1" x14ac:dyDescent="0.2">
      <c r="A260" s="57">
        <v>43728.034247685187</v>
      </c>
      <c r="B260" s="26">
        <v>595685</v>
      </c>
      <c r="C260" s="26">
        <v>204</v>
      </c>
      <c r="D260" s="86" t="s">
        <v>322</v>
      </c>
      <c r="E260" s="32">
        <f t="shared" si="14"/>
        <v>0</v>
      </c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6">
        <v>33.299999999999997</v>
      </c>
      <c r="FS260" s="26">
        <v>140.69999999999999</v>
      </c>
      <c r="FT260" s="26">
        <v>30</v>
      </c>
      <c r="FU260" s="25"/>
      <c r="FV260" s="27"/>
      <c r="FW260" s="27"/>
      <c r="FX260" s="28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</row>
    <row r="261" spans="1:220" ht="15.75" customHeight="1" x14ac:dyDescent="0.2">
      <c r="A261" s="57">
        <v>43728.034247685187</v>
      </c>
      <c r="B261" s="26">
        <v>595685</v>
      </c>
      <c r="C261" s="26">
        <v>210.61</v>
      </c>
      <c r="D261" s="86" t="s">
        <v>323</v>
      </c>
      <c r="E261" s="32">
        <f t="shared" si="14"/>
        <v>0</v>
      </c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6">
        <v>115.61</v>
      </c>
      <c r="FT261" s="26">
        <v>95</v>
      </c>
      <c r="FU261" s="25"/>
      <c r="FV261" s="27"/>
      <c r="FW261" s="27"/>
      <c r="FX261" s="28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</row>
    <row r="262" spans="1:220" ht="15.75" customHeight="1" x14ac:dyDescent="0.2">
      <c r="A262" s="57">
        <v>43728.034247685187</v>
      </c>
      <c r="B262" s="26">
        <v>595685</v>
      </c>
      <c r="C262" s="26">
        <v>209.54</v>
      </c>
      <c r="D262" s="86" t="s">
        <v>324</v>
      </c>
      <c r="E262" s="32">
        <f t="shared" si="14"/>
        <v>0</v>
      </c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6"/>
      <c r="FS262" s="26">
        <v>144.54</v>
      </c>
      <c r="FT262" s="26">
        <v>65</v>
      </c>
      <c r="FU262" s="25"/>
      <c r="FV262" s="27"/>
      <c r="FW262" s="27"/>
      <c r="FX262" s="28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</row>
    <row r="263" spans="1:220" ht="15.75" customHeight="1" x14ac:dyDescent="0.2">
      <c r="A263" s="57">
        <v>43728.034247685187</v>
      </c>
      <c r="B263" s="26">
        <v>595685</v>
      </c>
      <c r="C263" s="26">
        <v>195.4</v>
      </c>
      <c r="D263" s="86" t="s">
        <v>325</v>
      </c>
      <c r="E263" s="32">
        <f t="shared" si="14"/>
        <v>0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6">
        <v>35.4</v>
      </c>
      <c r="FS263" s="26">
        <f>57+68</f>
        <v>125</v>
      </c>
      <c r="FT263" s="26">
        <v>35</v>
      </c>
      <c r="FU263" s="25"/>
      <c r="FV263" s="27"/>
      <c r="FW263" s="27"/>
      <c r="FX263" s="28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</row>
    <row r="264" spans="1:220" ht="15.75" customHeight="1" x14ac:dyDescent="0.2">
      <c r="A264" s="57">
        <v>43728.034247685187</v>
      </c>
      <c r="B264" s="26">
        <v>595685</v>
      </c>
      <c r="C264" s="26">
        <v>202.9</v>
      </c>
      <c r="D264" s="86" t="s">
        <v>326</v>
      </c>
      <c r="E264" s="32">
        <f t="shared" si="14"/>
        <v>0</v>
      </c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6">
        <v>59.9</v>
      </c>
      <c r="FS264" s="26">
        <v>113</v>
      </c>
      <c r="FT264" s="26">
        <v>30</v>
      </c>
      <c r="FU264" s="25"/>
      <c r="FV264" s="27"/>
      <c r="FW264" s="27"/>
      <c r="FX264" s="28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</row>
    <row r="265" spans="1:220" ht="15.75" customHeight="1" x14ac:dyDescent="0.2">
      <c r="A265" s="57">
        <v>43728.034247685187</v>
      </c>
      <c r="B265" s="26">
        <v>595685</v>
      </c>
      <c r="C265" s="26">
        <v>213.6</v>
      </c>
      <c r="D265" s="86" t="s">
        <v>327</v>
      </c>
      <c r="E265" s="32">
        <f t="shared" si="14"/>
        <v>0</v>
      </c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6">
        <v>29.6</v>
      </c>
      <c r="FS265" s="26">
        <v>145</v>
      </c>
      <c r="FT265" s="26">
        <v>39</v>
      </c>
      <c r="FU265" s="25"/>
      <c r="FV265" s="27"/>
      <c r="FW265" s="27"/>
      <c r="FX265" s="28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</row>
    <row r="266" spans="1:220" ht="15.75" customHeight="1" x14ac:dyDescent="0.2">
      <c r="A266" s="57">
        <v>43728.034247685187</v>
      </c>
      <c r="B266" s="26">
        <v>595685</v>
      </c>
      <c r="C266" s="26">
        <v>229.69</v>
      </c>
      <c r="D266" s="86" t="s">
        <v>328</v>
      </c>
      <c r="E266" s="32">
        <f t="shared" si="14"/>
        <v>0</v>
      </c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6">
        <v>176.69</v>
      </c>
      <c r="FU266" s="26">
        <v>53</v>
      </c>
      <c r="FV266" s="27"/>
      <c r="FW266" s="27"/>
      <c r="FX266" s="28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</row>
    <row r="267" spans="1:220" ht="15.75" customHeight="1" x14ac:dyDescent="0.2">
      <c r="A267" s="57">
        <v>43728.034247685187</v>
      </c>
      <c r="B267" s="26">
        <v>595685</v>
      </c>
      <c r="C267" s="26">
        <v>215.7</v>
      </c>
      <c r="D267" s="86" t="s">
        <v>329</v>
      </c>
      <c r="E267" s="32">
        <f t="shared" si="14"/>
        <v>9.9999999999909051E-3</v>
      </c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6">
        <v>39.69</v>
      </c>
      <c r="FS267" s="26">
        <f>32+64</f>
        <v>96</v>
      </c>
      <c r="FT267" s="26">
        <v>80</v>
      </c>
      <c r="FU267" s="25"/>
      <c r="FV267" s="27"/>
      <c r="FW267" s="27"/>
      <c r="FX267" s="28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</row>
    <row r="268" spans="1:220" ht="15.75" customHeight="1" x14ac:dyDescent="0.2">
      <c r="A268" s="57">
        <v>43728.034247685187</v>
      </c>
      <c r="B268" s="26">
        <v>595684</v>
      </c>
      <c r="C268" s="26">
        <v>227.4</v>
      </c>
      <c r="D268" s="86" t="s">
        <v>330</v>
      </c>
      <c r="E268" s="32">
        <f t="shared" si="14"/>
        <v>3.0000000000001137E-2</v>
      </c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6">
        <v>176.37</v>
      </c>
      <c r="FU268" s="26">
        <v>51</v>
      </c>
      <c r="FV268" s="27"/>
      <c r="FW268" s="27"/>
      <c r="FX268" s="28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</row>
    <row r="269" spans="1:220" ht="15.75" customHeight="1" x14ac:dyDescent="0.2">
      <c r="A269" s="57">
        <v>43728.034247685187</v>
      </c>
      <c r="B269" s="26">
        <v>595684</v>
      </c>
      <c r="C269" s="26">
        <v>213.2</v>
      </c>
      <c r="D269" s="86" t="s">
        <v>331</v>
      </c>
      <c r="E269" s="32">
        <f t="shared" si="14"/>
        <v>0</v>
      </c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6">
        <v>62.2</v>
      </c>
      <c r="FT269" s="26">
        <v>151</v>
      </c>
      <c r="FU269" s="25"/>
      <c r="FV269" s="27"/>
      <c r="FW269" s="27"/>
      <c r="FX269" s="28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</row>
    <row r="270" spans="1:220" ht="15.75" customHeight="1" x14ac:dyDescent="0.2">
      <c r="A270" s="57">
        <v>43726.772881944446</v>
      </c>
      <c r="B270" s="26">
        <v>595492</v>
      </c>
      <c r="C270" s="26">
        <v>289</v>
      </c>
      <c r="D270" s="86" t="s">
        <v>332</v>
      </c>
      <c r="E270" s="32">
        <f t="shared" si="14"/>
        <v>0</v>
      </c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6">
        <v>79</v>
      </c>
      <c r="FU270" s="26">
        <v>119</v>
      </c>
      <c r="FV270" s="28">
        <v>91</v>
      </c>
      <c r="FW270" s="27"/>
      <c r="FX270" s="28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</row>
    <row r="271" spans="1:220" ht="15.75" customHeight="1" x14ac:dyDescent="0.2">
      <c r="A271" s="57">
        <v>43726.772881944446</v>
      </c>
      <c r="B271" s="26">
        <v>595492</v>
      </c>
      <c r="C271" s="26">
        <v>271.3</v>
      </c>
      <c r="D271" s="86" t="s">
        <v>333</v>
      </c>
      <c r="E271" s="32">
        <f t="shared" si="14"/>
        <v>0</v>
      </c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6">
        <v>94.3</v>
      </c>
      <c r="FU271" s="26">
        <v>132</v>
      </c>
      <c r="FV271" s="28">
        <v>45</v>
      </c>
      <c r="FW271" s="27"/>
      <c r="FX271" s="28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</row>
    <row r="272" spans="1:220" ht="15.75" customHeight="1" x14ac:dyDescent="0.2">
      <c r="A272" s="57">
        <v>43726.772881944446</v>
      </c>
      <c r="B272" s="26">
        <v>595492</v>
      </c>
      <c r="C272" s="26">
        <v>297.64</v>
      </c>
      <c r="D272" s="86" t="s">
        <v>334</v>
      </c>
      <c r="E272" s="32">
        <f t="shared" si="14"/>
        <v>0</v>
      </c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6">
        <v>54.64</v>
      </c>
      <c r="FU272" s="26">
        <v>153</v>
      </c>
      <c r="FV272" s="28">
        <v>90</v>
      </c>
      <c r="FW272" s="27"/>
      <c r="FX272" s="28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</row>
    <row r="273" spans="1:220" ht="15.75" customHeight="1" x14ac:dyDescent="0.2">
      <c r="A273" s="57">
        <v>43726.772881944446</v>
      </c>
      <c r="B273" s="26">
        <v>595492</v>
      </c>
      <c r="C273" s="26">
        <v>250.8</v>
      </c>
      <c r="D273" s="86" t="s">
        <v>335</v>
      </c>
      <c r="E273" s="32">
        <f t="shared" si="14"/>
        <v>0</v>
      </c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6">
        <v>156.80000000000001</v>
      </c>
      <c r="FV273" s="28">
        <v>94</v>
      </c>
      <c r="FW273" s="27"/>
      <c r="FX273" s="28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</row>
    <row r="274" spans="1:220" ht="15.75" customHeight="1" x14ac:dyDescent="0.2">
      <c r="A274" s="57">
        <v>43726.772581018522</v>
      </c>
      <c r="B274" s="26">
        <v>595491</v>
      </c>
      <c r="C274" s="26">
        <v>251.61</v>
      </c>
      <c r="D274" s="86" t="s">
        <v>336</v>
      </c>
      <c r="E274" s="32">
        <f t="shared" si="14"/>
        <v>0</v>
      </c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6">
        <v>35.61</v>
      </c>
      <c r="FU274" s="26">
        <v>165</v>
      </c>
      <c r="FV274" s="28">
        <v>51</v>
      </c>
      <c r="FW274" s="27"/>
      <c r="FX274" s="28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</row>
    <row r="275" spans="1:220" ht="15.75" customHeight="1" x14ac:dyDescent="0.2">
      <c r="A275" s="57">
        <v>43726.772581018522</v>
      </c>
      <c r="B275" s="26">
        <v>595491</v>
      </c>
      <c r="C275" s="26">
        <v>283.2</v>
      </c>
      <c r="D275" s="86" t="s">
        <v>337</v>
      </c>
      <c r="E275" s="32">
        <f t="shared" si="14"/>
        <v>-9.9999999999909051E-3</v>
      </c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6">
        <v>108.21</v>
      </c>
      <c r="FU275" s="26">
        <v>133</v>
      </c>
      <c r="FV275" s="28">
        <v>42</v>
      </c>
      <c r="FW275" s="27"/>
      <c r="FX275" s="28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</row>
    <row r="276" spans="1:220" ht="15.75" customHeight="1" x14ac:dyDescent="0.2">
      <c r="A276" s="57">
        <v>43726.772581018522</v>
      </c>
      <c r="B276" s="26">
        <v>595491</v>
      </c>
      <c r="C276" s="26">
        <v>243.8</v>
      </c>
      <c r="D276" s="86" t="s">
        <v>338</v>
      </c>
      <c r="E276" s="32">
        <f t="shared" si="14"/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6">
        <v>213.8</v>
      </c>
      <c r="FV276" s="28">
        <v>30</v>
      </c>
      <c r="FW276" s="27"/>
      <c r="FX276" s="28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</row>
    <row r="277" spans="1:220" ht="15.75" customHeight="1" x14ac:dyDescent="0.2">
      <c r="A277" s="57">
        <v>43726.772581018522</v>
      </c>
      <c r="B277" s="26">
        <v>595491</v>
      </c>
      <c r="C277" s="26">
        <v>311.10000000000002</v>
      </c>
      <c r="D277" s="86" t="s">
        <v>339</v>
      </c>
      <c r="E277" s="32">
        <f t="shared" si="14"/>
        <v>0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6">
        <v>97.1</v>
      </c>
      <c r="FU277" s="26">
        <v>155</v>
      </c>
      <c r="FV277" s="28">
        <v>59</v>
      </c>
      <c r="FW277" s="27"/>
      <c r="FX277" s="28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</row>
    <row r="278" spans="1:220" ht="15.75" customHeight="1" x14ac:dyDescent="0.2">
      <c r="A278" s="57">
        <v>43726.772581018522</v>
      </c>
      <c r="B278" s="26">
        <v>595491</v>
      </c>
      <c r="C278" s="26">
        <v>288.60000000000002</v>
      </c>
      <c r="D278" s="86" t="s">
        <v>340</v>
      </c>
      <c r="E278" s="32">
        <f t="shared" si="14"/>
        <v>0</v>
      </c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6">
        <v>230.6</v>
      </c>
      <c r="FV278" s="28">
        <v>58</v>
      </c>
      <c r="FW278" s="27"/>
      <c r="FX278" s="28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</row>
    <row r="279" spans="1:220" ht="15.75" customHeight="1" x14ac:dyDescent="0.2">
      <c r="A279" s="57">
        <v>43726.772581018522</v>
      </c>
      <c r="B279" s="26">
        <v>595491</v>
      </c>
      <c r="C279" s="26">
        <v>237.8</v>
      </c>
      <c r="D279" s="86" t="s">
        <v>341</v>
      </c>
      <c r="E279" s="32">
        <f t="shared" si="14"/>
        <v>0</v>
      </c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6">
        <v>79.8</v>
      </c>
      <c r="FU279" s="26">
        <v>158</v>
      </c>
      <c r="FV279" s="27"/>
      <c r="FW279" s="27"/>
      <c r="FX279" s="28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</row>
    <row r="280" spans="1:220" ht="15.75" customHeight="1" x14ac:dyDescent="0.2">
      <c r="A280" s="57">
        <v>43726.772581018522</v>
      </c>
      <c r="B280" s="26">
        <v>595491</v>
      </c>
      <c r="C280" s="26">
        <v>266</v>
      </c>
      <c r="D280" s="86" t="s">
        <v>342</v>
      </c>
      <c r="E280" s="32">
        <f t="shared" si="14"/>
        <v>0</v>
      </c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6">
        <v>266</v>
      </c>
      <c r="FV280" s="27"/>
      <c r="FW280" s="27"/>
      <c r="FX280" s="28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</row>
    <row r="281" spans="1:220" ht="15.75" customHeight="1" x14ac:dyDescent="0.2">
      <c r="A281" s="57">
        <v>43726.772581018522</v>
      </c>
      <c r="B281" s="26">
        <v>595491</v>
      </c>
      <c r="C281" s="26">
        <v>239.1</v>
      </c>
      <c r="D281" s="86" t="s">
        <v>343</v>
      </c>
      <c r="E281" s="32">
        <f t="shared" si="14"/>
        <v>0</v>
      </c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6">
        <f>116.1+29</f>
        <v>145.1</v>
      </c>
      <c r="FU281" s="25"/>
      <c r="FV281" s="28">
        <v>94</v>
      </c>
      <c r="FW281" s="27"/>
      <c r="FX281" s="28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</row>
    <row r="282" spans="1:220" ht="15.75" customHeight="1" x14ac:dyDescent="0.2">
      <c r="A282" s="57">
        <v>43726.772581018522</v>
      </c>
      <c r="B282" s="26">
        <v>595491</v>
      </c>
      <c r="C282" s="26">
        <v>284</v>
      </c>
      <c r="D282" s="86" t="s">
        <v>344</v>
      </c>
      <c r="E282" s="32">
        <f t="shared" si="14"/>
        <v>0</v>
      </c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6">
        <f>123+72</f>
        <v>195</v>
      </c>
      <c r="FV282" s="28">
        <v>89</v>
      </c>
      <c r="FW282" s="27"/>
      <c r="FX282" s="28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</row>
    <row r="283" spans="1:220" ht="15.75" customHeight="1" x14ac:dyDescent="0.2">
      <c r="A283" s="57">
        <v>43726.772581018522</v>
      </c>
      <c r="B283" s="26">
        <v>595491</v>
      </c>
      <c r="C283" s="26">
        <v>253.2</v>
      </c>
      <c r="D283" s="86" t="s">
        <v>345</v>
      </c>
      <c r="E283" s="32">
        <f t="shared" si="14"/>
        <v>0</v>
      </c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6">
        <v>208.2</v>
      </c>
      <c r="FV283" s="28">
        <v>45</v>
      </c>
      <c r="FW283" s="27"/>
      <c r="FX283" s="28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</row>
    <row r="284" spans="1:220" ht="15.75" customHeight="1" x14ac:dyDescent="0.2">
      <c r="A284" s="57">
        <v>43726.772581018522</v>
      </c>
      <c r="B284" s="26">
        <v>595491</v>
      </c>
      <c r="C284" s="26">
        <v>279.10000000000002</v>
      </c>
      <c r="D284" s="86" t="s">
        <v>346</v>
      </c>
      <c r="E284" s="32">
        <f t="shared" si="14"/>
        <v>0</v>
      </c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6">
        <v>230.1</v>
      </c>
      <c r="FV284" s="28">
        <v>49</v>
      </c>
      <c r="FW284" s="27"/>
      <c r="FX284" s="28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</row>
    <row r="285" spans="1:220" ht="15.75" customHeight="1" x14ac:dyDescent="0.2">
      <c r="A285" s="57">
        <v>43726.772581018522</v>
      </c>
      <c r="B285" s="26">
        <v>595491</v>
      </c>
      <c r="C285" s="26">
        <v>242.4</v>
      </c>
      <c r="D285" s="86" t="s">
        <v>347</v>
      </c>
      <c r="E285" s="32">
        <f t="shared" si="14"/>
        <v>0</v>
      </c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6">
        <v>203.4</v>
      </c>
      <c r="FV285" s="28">
        <v>39</v>
      </c>
      <c r="FW285" s="27"/>
      <c r="FX285" s="28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</row>
    <row r="286" spans="1:220" ht="15.75" customHeight="1" x14ac:dyDescent="0.2">
      <c r="A286" s="57">
        <v>43726.772581018522</v>
      </c>
      <c r="B286" s="26">
        <v>595491</v>
      </c>
      <c r="C286" s="26">
        <v>263.60000000000002</v>
      </c>
      <c r="D286" s="86" t="s">
        <v>348</v>
      </c>
      <c r="E286" s="32">
        <f t="shared" si="14"/>
        <v>0</v>
      </c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6">
        <v>215.6</v>
      </c>
      <c r="FV286" s="28">
        <v>48</v>
      </c>
      <c r="FW286" s="27"/>
      <c r="FX286" s="28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</row>
    <row r="287" spans="1:220" ht="15.75" customHeight="1" x14ac:dyDescent="0.2">
      <c r="A287" s="57">
        <v>43726.456469907411</v>
      </c>
      <c r="B287" s="26">
        <v>595436</v>
      </c>
      <c r="C287" s="26">
        <v>248</v>
      </c>
      <c r="D287" s="86" t="s">
        <v>349</v>
      </c>
      <c r="E287" s="32">
        <f t="shared" si="14"/>
        <v>2.0000000000010232E-2</v>
      </c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6">
        <v>50.98</v>
      </c>
      <c r="FU287" s="26">
        <v>67</v>
      </c>
      <c r="FV287" s="28">
        <v>130</v>
      </c>
      <c r="FW287" s="27"/>
      <c r="FX287" s="28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</row>
    <row r="288" spans="1:220" ht="15.75" customHeight="1" x14ac:dyDescent="0.2">
      <c r="A288" s="57">
        <v>43726.389270833337</v>
      </c>
      <c r="B288" s="26">
        <v>595425</v>
      </c>
      <c r="C288" s="26">
        <v>207.2</v>
      </c>
      <c r="D288" s="86" t="s">
        <v>350</v>
      </c>
      <c r="E288" s="32">
        <f t="shared" si="14"/>
        <v>-2.0000000000010232E-2</v>
      </c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8">
        <v>179.22</v>
      </c>
      <c r="FW288" s="28">
        <v>28</v>
      </c>
      <c r="FX288" s="28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</row>
    <row r="289" spans="1:220" ht="15.75" customHeight="1" x14ac:dyDescent="0.2">
      <c r="A289" s="57">
        <v>43726.389270833337</v>
      </c>
      <c r="B289" s="26">
        <v>595425</v>
      </c>
      <c r="C289" s="26">
        <v>209.1</v>
      </c>
      <c r="D289" s="86" t="s">
        <v>351</v>
      </c>
      <c r="E289" s="32">
        <f t="shared" si="14"/>
        <v>0</v>
      </c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6">
        <v>28.1</v>
      </c>
      <c r="FV289" s="28">
        <v>155</v>
      </c>
      <c r="FW289" s="28">
        <v>26</v>
      </c>
      <c r="FX289" s="28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</row>
    <row r="290" spans="1:220" ht="15.75" customHeight="1" x14ac:dyDescent="0.2">
      <c r="A290" s="57">
        <v>43726.389270833337</v>
      </c>
      <c r="B290" s="26">
        <v>595425</v>
      </c>
      <c r="C290" s="26">
        <v>233.7</v>
      </c>
      <c r="D290" s="86" t="s">
        <v>352</v>
      </c>
      <c r="E290" s="32">
        <f t="shared" si="14"/>
        <v>0</v>
      </c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6">
        <v>141.69999999999999</v>
      </c>
      <c r="FV290" s="28">
        <f>32+60</f>
        <v>92</v>
      </c>
      <c r="FW290" s="27"/>
      <c r="FX290" s="28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</row>
    <row r="291" spans="1:220" ht="15.75" customHeight="1" x14ac:dyDescent="0.2">
      <c r="A291" s="57">
        <v>43726.389270833337</v>
      </c>
      <c r="B291" s="26">
        <v>595425</v>
      </c>
      <c r="C291" s="26">
        <v>194.6</v>
      </c>
      <c r="D291" s="86" t="s">
        <v>353</v>
      </c>
      <c r="E291" s="32">
        <f t="shared" si="14"/>
        <v>0</v>
      </c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8">
        <v>162.6</v>
      </c>
      <c r="FW291" s="28">
        <v>32</v>
      </c>
      <c r="FX291" s="28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</row>
    <row r="292" spans="1:220" ht="15.75" customHeight="1" x14ac:dyDescent="0.2">
      <c r="A292" s="57">
        <v>43726.389270833337</v>
      </c>
      <c r="B292" s="26">
        <v>595425</v>
      </c>
      <c r="C292" s="26">
        <v>211.1</v>
      </c>
      <c r="D292" s="86" t="s">
        <v>354</v>
      </c>
      <c r="E292" s="32">
        <f t="shared" si="14"/>
        <v>0</v>
      </c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8">
        <v>182.1</v>
      </c>
      <c r="FW292" s="28">
        <v>29</v>
      </c>
      <c r="FX292" s="28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</row>
    <row r="293" spans="1:220" ht="15.75" customHeight="1" x14ac:dyDescent="0.2">
      <c r="A293" s="57">
        <v>43726.389270833337</v>
      </c>
      <c r="B293" s="26">
        <v>595425</v>
      </c>
      <c r="C293" s="26">
        <v>208</v>
      </c>
      <c r="D293" s="86" t="s">
        <v>355</v>
      </c>
      <c r="E293" s="32">
        <f t="shared" si="14"/>
        <v>0</v>
      </c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8">
        <v>159</v>
      </c>
      <c r="FW293" s="28">
        <v>49</v>
      </c>
      <c r="FX293" s="28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</row>
    <row r="294" spans="1:220" ht="15.75" customHeight="1" x14ac:dyDescent="0.2">
      <c r="A294" s="57">
        <v>43726.389270833337</v>
      </c>
      <c r="B294" s="26">
        <v>595425</v>
      </c>
      <c r="C294" s="26">
        <v>199.4</v>
      </c>
      <c r="D294" s="86" t="s">
        <v>356</v>
      </c>
      <c r="E294" s="32">
        <f t="shared" si="14"/>
        <v>0</v>
      </c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8">
        <v>104.4</v>
      </c>
      <c r="FW294" s="28">
        <v>95</v>
      </c>
      <c r="FX294" s="28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</row>
    <row r="295" spans="1:220" ht="15.75" customHeight="1" x14ac:dyDescent="0.2">
      <c r="A295" s="57">
        <v>43726.202488425923</v>
      </c>
      <c r="B295" s="26">
        <v>595389</v>
      </c>
      <c r="C295" s="26">
        <v>253.2</v>
      </c>
      <c r="D295" s="86" t="s">
        <v>357</v>
      </c>
      <c r="E295" s="32">
        <f t="shared" si="14"/>
        <v>0</v>
      </c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8">
        <v>119.2</v>
      </c>
      <c r="FW295" s="28">
        <f>99+35</f>
        <v>134</v>
      </c>
      <c r="FX295" s="28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</row>
    <row r="296" spans="1:220" ht="15.75" customHeight="1" x14ac:dyDescent="0.2">
      <c r="A296" s="57">
        <v>43726.202488425923</v>
      </c>
      <c r="B296" s="26">
        <v>595389</v>
      </c>
      <c r="C296" s="26">
        <v>224.6</v>
      </c>
      <c r="D296" s="86" t="s">
        <v>358</v>
      </c>
      <c r="E296" s="32">
        <f t="shared" si="14"/>
        <v>0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8">
        <v>166.6</v>
      </c>
      <c r="FW296" s="28">
        <f>38+20</f>
        <v>58</v>
      </c>
      <c r="FX296" s="28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</row>
    <row r="297" spans="1:220" ht="15.75" customHeight="1" x14ac:dyDescent="0.2">
      <c r="A297" s="57">
        <v>43726.202488425923</v>
      </c>
      <c r="B297" s="26">
        <v>595389</v>
      </c>
      <c r="C297" s="26">
        <v>198.2</v>
      </c>
      <c r="D297" s="86" t="s">
        <v>359</v>
      </c>
      <c r="E297" s="32">
        <f t="shared" si="14"/>
        <v>0</v>
      </c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8">
        <v>99.2</v>
      </c>
      <c r="FW297" s="28">
        <v>99</v>
      </c>
      <c r="FX297" s="28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</row>
    <row r="298" spans="1:220" ht="15.75" customHeight="1" x14ac:dyDescent="0.2">
      <c r="A298" s="57">
        <v>43726.202488425923</v>
      </c>
      <c r="B298" s="26">
        <v>595389</v>
      </c>
      <c r="C298" s="26">
        <v>183.6</v>
      </c>
      <c r="D298" s="86" t="s">
        <v>360</v>
      </c>
      <c r="E298" s="32">
        <f t="shared" si="14"/>
        <v>0</v>
      </c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8">
        <v>158.6</v>
      </c>
      <c r="FW298" s="28">
        <v>25</v>
      </c>
      <c r="FX298" s="28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</row>
    <row r="299" spans="1:220" ht="15.75" customHeight="1" x14ac:dyDescent="0.2">
      <c r="A299" s="57">
        <v>43726.202488425923</v>
      </c>
      <c r="B299" s="26">
        <v>595389</v>
      </c>
      <c r="C299" s="26">
        <v>236.8</v>
      </c>
      <c r="D299" s="86" t="s">
        <v>361</v>
      </c>
      <c r="E299" s="32">
        <f t="shared" si="14"/>
        <v>0</v>
      </c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8">
        <v>119.8</v>
      </c>
      <c r="FW299" s="28">
        <v>117</v>
      </c>
      <c r="FX299" s="28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</row>
    <row r="300" spans="1:220" ht="15.75" customHeight="1" x14ac:dyDescent="0.2">
      <c r="A300" s="57">
        <v>43726.202488425923</v>
      </c>
      <c r="B300" s="26">
        <v>595389</v>
      </c>
      <c r="C300" s="26">
        <v>209.7</v>
      </c>
      <c r="D300" s="86" t="s">
        <v>362</v>
      </c>
      <c r="E300" s="32">
        <f t="shared" si="14"/>
        <v>0</v>
      </c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8">
        <v>60.7</v>
      </c>
      <c r="FW300" s="28">
        <v>149</v>
      </c>
      <c r="FX300" s="28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</row>
    <row r="301" spans="1:220" ht="15.75" customHeight="1" x14ac:dyDescent="0.2">
      <c r="A301" s="57">
        <v>43726.202488425923</v>
      </c>
      <c r="B301" s="26">
        <v>595389</v>
      </c>
      <c r="C301" s="26">
        <v>247.4</v>
      </c>
      <c r="D301" s="86" t="s">
        <v>363</v>
      </c>
      <c r="E301" s="32">
        <f t="shared" si="14"/>
        <v>0</v>
      </c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8">
        <v>125.4</v>
      </c>
      <c r="FW301" s="28">
        <f>83+39</f>
        <v>122</v>
      </c>
      <c r="FX301" s="28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</row>
    <row r="302" spans="1:220" ht="15.75" customHeight="1" x14ac:dyDescent="0.2">
      <c r="A302" s="57">
        <v>43726.202488425923</v>
      </c>
      <c r="B302" s="26">
        <v>595389</v>
      </c>
      <c r="C302" s="26">
        <v>208.9</v>
      </c>
      <c r="D302" s="86" t="s">
        <v>364</v>
      </c>
      <c r="E302" s="32">
        <f t="shared" si="14"/>
        <v>0</v>
      </c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8">
        <v>83.9</v>
      </c>
      <c r="FW302" s="28">
        <v>125</v>
      </c>
      <c r="FX302" s="28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</row>
    <row r="303" spans="1:220" ht="15.75" customHeight="1" x14ac:dyDescent="0.2">
      <c r="A303" s="57">
        <v>43726.202488425923</v>
      </c>
      <c r="B303" s="26">
        <v>595389</v>
      </c>
      <c r="C303" s="26">
        <v>208.1</v>
      </c>
      <c r="D303" s="86" t="s">
        <v>365</v>
      </c>
      <c r="E303" s="32">
        <f t="shared" si="14"/>
        <v>0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8">
        <v>56.1</v>
      </c>
      <c r="FW303" s="28">
        <f>98+54</f>
        <v>152</v>
      </c>
      <c r="FX303" s="28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</row>
    <row r="304" spans="1:220" ht="15.75" customHeight="1" x14ac:dyDescent="0.2">
      <c r="A304" s="57">
        <v>43726.202488425923</v>
      </c>
      <c r="B304" s="26">
        <v>595389</v>
      </c>
      <c r="C304" s="26">
        <v>223.1</v>
      </c>
      <c r="D304" s="86" t="s">
        <v>366</v>
      </c>
      <c r="E304" s="32">
        <f t="shared" si="14"/>
        <v>0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9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8">
        <v>154.1</v>
      </c>
      <c r="FW304" s="28">
        <v>69</v>
      </c>
      <c r="FX304" s="28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</row>
    <row r="305" spans="1:220" ht="15.75" customHeight="1" x14ac:dyDescent="0.2">
      <c r="A305" s="57">
        <v>43724.341689814813</v>
      </c>
      <c r="B305" s="26">
        <v>595110</v>
      </c>
      <c r="C305" s="26">
        <v>214.89</v>
      </c>
      <c r="D305" s="86" t="s">
        <v>367</v>
      </c>
      <c r="E305" s="32">
        <f t="shared" si="14"/>
        <v>0</v>
      </c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7"/>
      <c r="FW305" s="28">
        <v>105.89</v>
      </c>
      <c r="FX305" s="28">
        <v>109</v>
      </c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</row>
    <row r="306" spans="1:220" ht="15.75" customHeight="1" x14ac:dyDescent="0.2">
      <c r="A306" s="57">
        <v>43724.341689814813</v>
      </c>
      <c r="B306" s="26">
        <v>595110</v>
      </c>
      <c r="C306" s="26">
        <v>232.37</v>
      </c>
      <c r="D306" s="86" t="s">
        <v>368</v>
      </c>
      <c r="E306" s="32">
        <f t="shared" si="14"/>
        <v>0</v>
      </c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7"/>
      <c r="FW306" s="28">
        <v>129.37</v>
      </c>
      <c r="FX306" s="28">
        <v>103</v>
      </c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</row>
    <row r="307" spans="1:220" ht="15.75" customHeight="1" x14ac:dyDescent="0.2">
      <c r="A307" s="57">
        <v>43724.341689814813</v>
      </c>
      <c r="B307" s="26">
        <v>595110</v>
      </c>
      <c r="C307" s="26">
        <v>230.3</v>
      </c>
      <c r="D307" s="86" t="s">
        <v>184</v>
      </c>
      <c r="E307" s="32">
        <f t="shared" si="14"/>
        <v>0</v>
      </c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7"/>
      <c r="FW307" s="28">
        <v>99.3</v>
      </c>
      <c r="FX307" s="28">
        <v>131</v>
      </c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</row>
    <row r="308" spans="1:220" ht="15.75" customHeight="1" x14ac:dyDescent="0.2">
      <c r="A308" s="57">
        <v>43724.341689814813</v>
      </c>
      <c r="B308" s="26">
        <v>595110</v>
      </c>
      <c r="C308" s="26">
        <v>230.9</v>
      </c>
      <c r="D308" s="86" t="s">
        <v>369</v>
      </c>
      <c r="E308" s="32">
        <f t="shared" si="14"/>
        <v>0</v>
      </c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7"/>
      <c r="FW308" s="28">
        <v>122.9</v>
      </c>
      <c r="FX308" s="28">
        <v>108</v>
      </c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</row>
    <row r="309" spans="1:220" ht="15.75" customHeight="1" x14ac:dyDescent="0.2">
      <c r="A309" s="57">
        <v>43724.341689814813</v>
      </c>
      <c r="B309" s="26">
        <v>595110</v>
      </c>
      <c r="C309" s="26">
        <v>236</v>
      </c>
      <c r="D309" s="86" t="s">
        <v>370</v>
      </c>
      <c r="E309" s="32">
        <f t="shared" si="14"/>
        <v>0</v>
      </c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7"/>
      <c r="FW309" s="28">
        <v>124</v>
      </c>
      <c r="FX309" s="28">
        <v>112</v>
      </c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</row>
    <row r="310" spans="1:220" ht="15.75" customHeight="1" x14ac:dyDescent="0.2">
      <c r="A310" s="57">
        <v>43724.341689814813</v>
      </c>
      <c r="B310" s="26">
        <v>595110</v>
      </c>
      <c r="C310" s="26">
        <v>222.97</v>
      </c>
      <c r="D310" s="86" t="s">
        <v>371</v>
      </c>
      <c r="E310" s="32">
        <f t="shared" si="14"/>
        <v>0</v>
      </c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7"/>
      <c r="FW310" s="28">
        <v>88.97</v>
      </c>
      <c r="FX310" s="28">
        <v>134</v>
      </c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</row>
    <row r="311" spans="1:220" ht="15.75" customHeight="1" x14ac:dyDescent="0.2">
      <c r="A311" s="57">
        <v>43724.341689814813</v>
      </c>
      <c r="B311" s="26">
        <v>595110</v>
      </c>
      <c r="C311" s="26">
        <v>202.17</v>
      </c>
      <c r="D311" s="86" t="s">
        <v>372</v>
      </c>
      <c r="E311" s="32">
        <f t="shared" si="14"/>
        <v>0</v>
      </c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7"/>
      <c r="FW311" s="28">
        <v>97.17</v>
      </c>
      <c r="FX311" s="28">
        <v>105</v>
      </c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</row>
    <row r="312" spans="1:220" ht="15.75" customHeight="1" x14ac:dyDescent="0.2">
      <c r="A312" s="57">
        <v>43724.335474537038</v>
      </c>
      <c r="B312" s="26">
        <v>595109</v>
      </c>
      <c r="C312" s="26">
        <v>197.1</v>
      </c>
      <c r="D312" s="86" t="s">
        <v>373</v>
      </c>
      <c r="E312" s="32">
        <f t="shared" si="14"/>
        <v>0</v>
      </c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7"/>
      <c r="FW312" s="28">
        <v>147.1</v>
      </c>
      <c r="FX312" s="28">
        <v>50</v>
      </c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</row>
    <row r="313" spans="1:220" ht="15.75" customHeight="1" x14ac:dyDescent="0.2">
      <c r="A313" s="57">
        <v>43724.335474537038</v>
      </c>
      <c r="B313" s="26">
        <v>595109</v>
      </c>
      <c r="C313" s="26">
        <v>204.14</v>
      </c>
      <c r="D313" s="86" t="s">
        <v>374</v>
      </c>
      <c r="E313" s="32">
        <f t="shared" si="14"/>
        <v>0</v>
      </c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7"/>
      <c r="FW313" s="28">
        <v>104.14</v>
      </c>
      <c r="FX313" s="28">
        <v>100</v>
      </c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</row>
    <row r="314" spans="1:220" ht="15.75" customHeight="1" x14ac:dyDescent="0.2">
      <c r="A314" s="57">
        <v>43724.335474537038</v>
      </c>
      <c r="B314" s="26">
        <v>595109</v>
      </c>
      <c r="C314" s="26">
        <v>197</v>
      </c>
      <c r="D314" s="86" t="s">
        <v>375</v>
      </c>
      <c r="E314" s="32">
        <f t="shared" si="14"/>
        <v>9.9999999999994316E-2</v>
      </c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7"/>
      <c r="FW314" s="28">
        <v>88.9</v>
      </c>
      <c r="FX314" s="28">
        <v>108</v>
      </c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</row>
    <row r="315" spans="1:220" ht="15.75" customHeight="1" x14ac:dyDescent="0.2">
      <c r="A315" s="57">
        <v>43724.32476851852</v>
      </c>
      <c r="B315" s="26">
        <v>595107</v>
      </c>
      <c r="C315" s="26">
        <v>231.2</v>
      </c>
      <c r="D315" s="86" t="s">
        <v>376</v>
      </c>
      <c r="E315" s="32">
        <f t="shared" si="14"/>
        <v>0</v>
      </c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7"/>
      <c r="FW315" s="28">
        <v>96.2</v>
      </c>
      <c r="FX315" s="28">
        <f>74+61</f>
        <v>135</v>
      </c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</row>
    <row r="316" spans="1:220" ht="15.75" customHeight="1" x14ac:dyDescent="0.2">
      <c r="A316" s="57">
        <v>43724.32476851852</v>
      </c>
      <c r="B316" s="26">
        <v>595107</v>
      </c>
      <c r="C316" s="26">
        <v>216.7</v>
      </c>
      <c r="D316" s="86" t="s">
        <v>377</v>
      </c>
      <c r="E316" s="32">
        <f t="shared" si="14"/>
        <v>0</v>
      </c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7"/>
      <c r="FW316" s="28">
        <v>134.69999999999999</v>
      </c>
      <c r="FX316" s="28">
        <v>82</v>
      </c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</row>
    <row r="317" spans="1:220" ht="15.75" customHeight="1" x14ac:dyDescent="0.2">
      <c r="A317" s="57">
        <v>43724.32476851852</v>
      </c>
      <c r="B317" s="26">
        <v>595107</v>
      </c>
      <c r="C317" s="26">
        <v>231.5</v>
      </c>
      <c r="D317" s="86" t="s">
        <v>378</v>
      </c>
      <c r="E317" s="32">
        <f t="shared" ref="E317:E380" si="15">C317-SUM(AN317:HK317)</f>
        <v>9.9999999999994316E-2</v>
      </c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7"/>
      <c r="FW317" s="27"/>
      <c r="FX317" s="28">
        <v>231.4</v>
      </c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</row>
    <row r="318" spans="1:220" ht="15.75" customHeight="1" x14ac:dyDescent="0.2">
      <c r="A318" s="57">
        <v>43724.32476851852</v>
      </c>
      <c r="B318" s="26">
        <v>595107</v>
      </c>
      <c r="C318" s="26">
        <v>247.94</v>
      </c>
      <c r="D318" s="86" t="s">
        <v>379</v>
      </c>
      <c r="E318" s="32">
        <f t="shared" si="15"/>
        <v>0</v>
      </c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7"/>
      <c r="FW318" s="28">
        <v>102.94</v>
      </c>
      <c r="FX318" s="28">
        <v>145</v>
      </c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</row>
    <row r="319" spans="1:220" ht="15.75" customHeight="1" x14ac:dyDescent="0.2">
      <c r="A319" s="57">
        <v>43724.320115740738</v>
      </c>
      <c r="B319" s="26">
        <v>595106</v>
      </c>
      <c r="C319" s="26">
        <v>249.56</v>
      </c>
      <c r="D319" s="86" t="s">
        <v>380</v>
      </c>
      <c r="E319" s="32">
        <f t="shared" si="15"/>
        <v>0</v>
      </c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7"/>
      <c r="FW319" s="28">
        <v>125.56</v>
      </c>
      <c r="FX319" s="28">
        <v>124</v>
      </c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</row>
    <row r="320" spans="1:220" ht="15.75" customHeight="1" x14ac:dyDescent="0.2">
      <c r="A320" s="57">
        <v>43724.320115740738</v>
      </c>
      <c r="B320" s="26">
        <v>595106</v>
      </c>
      <c r="C320" s="26">
        <v>238.64</v>
      </c>
      <c r="D320" s="86" t="s">
        <v>381</v>
      </c>
      <c r="E320" s="32">
        <f t="shared" si="15"/>
        <v>0</v>
      </c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7"/>
      <c r="FW320" s="28">
        <v>113.64</v>
      </c>
      <c r="FX320" s="28">
        <v>125</v>
      </c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</row>
    <row r="321" spans="1:220" ht="15.75" customHeight="1" x14ac:dyDescent="0.2">
      <c r="A321" s="57">
        <v>43724.320115740738</v>
      </c>
      <c r="B321" s="26">
        <v>595106</v>
      </c>
      <c r="C321" s="26">
        <v>235.2</v>
      </c>
      <c r="D321" s="86" t="s">
        <v>382</v>
      </c>
      <c r="E321" s="32">
        <f t="shared" si="15"/>
        <v>0</v>
      </c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7"/>
      <c r="FW321" s="28">
        <v>124.2</v>
      </c>
      <c r="FX321" s="28">
        <v>111</v>
      </c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</row>
    <row r="322" spans="1:220" ht="15.75" customHeight="1" x14ac:dyDescent="0.2">
      <c r="A322" s="57">
        <v>43725.257106481484</v>
      </c>
      <c r="B322" s="62">
        <v>595106</v>
      </c>
      <c r="C322" s="26">
        <v>221.41</v>
      </c>
      <c r="D322" s="86" t="s">
        <v>383</v>
      </c>
      <c r="E322" s="32">
        <f t="shared" si="15"/>
        <v>0</v>
      </c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58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7"/>
      <c r="FW322" s="28">
        <v>57.41</v>
      </c>
      <c r="FX322" s="28">
        <v>164</v>
      </c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</row>
    <row r="323" spans="1:220" ht="15.75" customHeight="1" x14ac:dyDescent="0.2">
      <c r="A323" s="57">
        <v>43725.257106481484</v>
      </c>
      <c r="B323" s="26">
        <v>595106</v>
      </c>
      <c r="C323" s="26">
        <v>222.2</v>
      </c>
      <c r="D323" s="86" t="s">
        <v>384</v>
      </c>
      <c r="E323" s="32">
        <f t="shared" si="15"/>
        <v>0</v>
      </c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58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7"/>
      <c r="FW323" s="28">
        <v>113.2</v>
      </c>
      <c r="FX323" s="28">
        <v>109</v>
      </c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</row>
    <row r="324" spans="1:220" ht="15.75" customHeight="1" x14ac:dyDescent="0.2">
      <c r="A324" s="57">
        <v>43725.12259259259</v>
      </c>
      <c r="B324" s="26">
        <v>595102</v>
      </c>
      <c r="C324" s="26">
        <v>160.94999999999999</v>
      </c>
      <c r="D324" s="86" t="s">
        <v>385</v>
      </c>
      <c r="E324" s="32">
        <f t="shared" si="15"/>
        <v>0</v>
      </c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58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7"/>
      <c r="FW324" s="27"/>
      <c r="FX324" s="28">
        <v>160.94999999999999</v>
      </c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</row>
    <row r="325" spans="1:220" ht="15.75" customHeight="1" x14ac:dyDescent="0.2">
      <c r="A325" s="57">
        <v>43724.296805555554</v>
      </c>
      <c r="B325" s="32">
        <v>595102</v>
      </c>
      <c r="C325" s="63">
        <v>197</v>
      </c>
      <c r="D325" s="86" t="s">
        <v>386</v>
      </c>
      <c r="E325" s="32">
        <f t="shared" si="15"/>
        <v>0</v>
      </c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58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7"/>
      <c r="FW325" s="27"/>
      <c r="FX325" s="28">
        <v>197</v>
      </c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</row>
    <row r="326" spans="1:220" ht="15.75" customHeight="1" x14ac:dyDescent="0.2">
      <c r="A326" s="57">
        <v>43724.296805555554</v>
      </c>
      <c r="B326" s="32">
        <v>595102</v>
      </c>
      <c r="C326" s="63">
        <v>210</v>
      </c>
      <c r="D326" s="86" t="s">
        <v>387</v>
      </c>
      <c r="E326" s="32">
        <f t="shared" si="15"/>
        <v>0</v>
      </c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58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7"/>
      <c r="FW326" s="27"/>
      <c r="FX326" s="28">
        <v>210</v>
      </c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</row>
    <row r="327" spans="1:220" ht="15.75" customHeight="1" x14ac:dyDescent="0.2">
      <c r="A327" s="57">
        <v>43724.296805555554</v>
      </c>
      <c r="B327" s="32">
        <v>595102</v>
      </c>
      <c r="C327" s="63">
        <v>208</v>
      </c>
      <c r="D327" s="86" t="s">
        <v>388</v>
      </c>
      <c r="E327" s="32">
        <f t="shared" si="15"/>
        <v>0</v>
      </c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58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7"/>
      <c r="FW327" s="27"/>
      <c r="FX327" s="28">
        <v>208</v>
      </c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</row>
    <row r="328" spans="1:220" ht="15.75" customHeight="1" x14ac:dyDescent="0.2">
      <c r="A328" s="57">
        <v>43724.296805555554</v>
      </c>
      <c r="B328" s="32">
        <v>595102</v>
      </c>
      <c r="C328" s="63">
        <v>200</v>
      </c>
      <c r="D328" s="86" t="s">
        <v>389</v>
      </c>
      <c r="E328" s="32">
        <f t="shared" si="15"/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58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7"/>
      <c r="FW328" s="27"/>
      <c r="FX328" s="28">
        <v>200</v>
      </c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</row>
    <row r="329" spans="1:220" ht="15.75" customHeight="1" x14ac:dyDescent="0.2">
      <c r="A329" s="57">
        <v>43720.542847222219</v>
      </c>
      <c r="B329" s="26">
        <v>594523</v>
      </c>
      <c r="C329" s="26">
        <v>193.63</v>
      </c>
      <c r="D329" s="86" t="s">
        <v>390</v>
      </c>
      <c r="E329" s="32">
        <f t="shared" si="15"/>
        <v>0</v>
      </c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58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7"/>
      <c r="FW329" s="27"/>
      <c r="FX329" s="28"/>
      <c r="FY329" s="26">
        <v>78.63</v>
      </c>
      <c r="FZ329" s="26">
        <v>115</v>
      </c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</row>
    <row r="330" spans="1:220" ht="15.75" customHeight="1" x14ac:dyDescent="0.2">
      <c r="A330" s="57">
        <v>43720.542847222219</v>
      </c>
      <c r="B330" s="26">
        <v>594523</v>
      </c>
      <c r="C330" s="26">
        <v>182.3</v>
      </c>
      <c r="D330" s="86" t="s">
        <v>391</v>
      </c>
      <c r="E330" s="32">
        <f t="shared" si="15"/>
        <v>5.0000000000011369E-2</v>
      </c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58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7"/>
      <c r="FW330" s="27"/>
      <c r="FX330" s="28"/>
      <c r="FY330" s="26">
        <v>107.25</v>
      </c>
      <c r="FZ330" s="26">
        <v>75</v>
      </c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</row>
    <row r="331" spans="1:220" ht="15.75" customHeight="1" x14ac:dyDescent="0.2">
      <c r="A331" s="57">
        <v>43720.542847222219</v>
      </c>
      <c r="B331" s="26">
        <v>594523</v>
      </c>
      <c r="C331" s="26">
        <v>197.2</v>
      </c>
      <c r="D331" s="86" t="s">
        <v>392</v>
      </c>
      <c r="E331" s="32">
        <f t="shared" si="15"/>
        <v>2.9999999999972715E-2</v>
      </c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58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7"/>
      <c r="FW331" s="27"/>
      <c r="FX331" s="28"/>
      <c r="FY331" s="25"/>
      <c r="FZ331" s="26">
        <v>86.17</v>
      </c>
      <c r="GA331" s="26">
        <f>39+52</f>
        <v>91</v>
      </c>
      <c r="GB331" s="26">
        <v>20</v>
      </c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</row>
    <row r="332" spans="1:220" ht="15.75" customHeight="1" x14ac:dyDescent="0.2">
      <c r="A332" s="57">
        <v>43720.542847222219</v>
      </c>
      <c r="B332" s="26">
        <v>594523</v>
      </c>
      <c r="C332" s="26">
        <v>220.8</v>
      </c>
      <c r="D332" s="86" t="s">
        <v>393</v>
      </c>
      <c r="E332" s="32">
        <f t="shared" si="15"/>
        <v>0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58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7"/>
      <c r="FW332" s="27"/>
      <c r="FX332" s="28"/>
      <c r="FY332" s="25"/>
      <c r="FZ332" s="26">
        <v>89.8</v>
      </c>
      <c r="GA332" s="26">
        <v>101</v>
      </c>
      <c r="GB332" s="26">
        <v>30</v>
      </c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</row>
    <row r="333" spans="1:220" ht="15.75" customHeight="1" x14ac:dyDescent="0.2">
      <c r="A333" s="57">
        <v>43720.542847222219</v>
      </c>
      <c r="B333" s="26">
        <v>594523</v>
      </c>
      <c r="C333" s="26">
        <v>196.72</v>
      </c>
      <c r="D333" s="86" t="s">
        <v>394</v>
      </c>
      <c r="E333" s="32">
        <f t="shared" si="15"/>
        <v>2.0000000000010232E-2</v>
      </c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58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7"/>
      <c r="FW333" s="27"/>
      <c r="FX333" s="28"/>
      <c r="FY333" s="26">
        <v>8.6999999999999993</v>
      </c>
      <c r="FZ333" s="26">
        <v>158</v>
      </c>
      <c r="GA333" s="25"/>
      <c r="GB333" s="26">
        <v>30</v>
      </c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</row>
    <row r="334" spans="1:220" ht="15.75" customHeight="1" x14ac:dyDescent="0.2">
      <c r="A334" s="57">
        <v>43720.542847222219</v>
      </c>
      <c r="B334" s="26">
        <v>594523</v>
      </c>
      <c r="C334" s="26">
        <v>207</v>
      </c>
      <c r="D334" s="86" t="s">
        <v>175</v>
      </c>
      <c r="E334" s="32">
        <f t="shared" si="15"/>
        <v>0</v>
      </c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58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7"/>
      <c r="FW334" s="27"/>
      <c r="FX334" s="28"/>
      <c r="FY334" s="25"/>
      <c r="FZ334" s="26">
        <v>103</v>
      </c>
      <c r="GA334" s="26">
        <v>75</v>
      </c>
      <c r="GB334" s="26">
        <v>29</v>
      </c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</row>
    <row r="335" spans="1:220" ht="15.75" customHeight="1" x14ac:dyDescent="0.2">
      <c r="A335" s="57">
        <v>43720.535740740743</v>
      </c>
      <c r="B335" s="26">
        <v>594522</v>
      </c>
      <c r="C335" s="26">
        <v>211.2</v>
      </c>
      <c r="D335" s="86" t="s">
        <v>395</v>
      </c>
      <c r="E335" s="32">
        <f t="shared" si="15"/>
        <v>0</v>
      </c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58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7"/>
      <c r="FW335" s="27"/>
      <c r="FX335" s="28"/>
      <c r="FY335" s="26">
        <v>34.200000000000003</v>
      </c>
      <c r="FZ335" s="26">
        <v>20</v>
      </c>
      <c r="GA335" s="26">
        <v>62</v>
      </c>
      <c r="GB335" s="26">
        <v>95</v>
      </c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</row>
    <row r="336" spans="1:220" ht="15.75" customHeight="1" x14ac:dyDescent="0.2">
      <c r="A336" s="57">
        <v>43720.535740740743</v>
      </c>
      <c r="B336" s="26">
        <v>594522</v>
      </c>
      <c r="C336" s="26">
        <v>212.8</v>
      </c>
      <c r="D336" s="86" t="s">
        <v>396</v>
      </c>
      <c r="E336" s="32">
        <f t="shared" si="15"/>
        <v>0</v>
      </c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58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7"/>
      <c r="FW336" s="27"/>
      <c r="FX336" s="28"/>
      <c r="FY336" s="26">
        <v>97.8</v>
      </c>
      <c r="FZ336" s="26">
        <v>40</v>
      </c>
      <c r="GA336" s="25"/>
      <c r="GB336" s="26">
        <v>75</v>
      </c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</row>
    <row r="337" spans="1:220" ht="15.75" customHeight="1" x14ac:dyDescent="0.2">
      <c r="A337" s="57">
        <v>43720.535740740743</v>
      </c>
      <c r="B337" s="26">
        <v>594522</v>
      </c>
      <c r="C337" s="26">
        <v>196.2</v>
      </c>
      <c r="D337" s="86" t="s">
        <v>397</v>
      </c>
      <c r="E337" s="32">
        <f t="shared" si="15"/>
        <v>0</v>
      </c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58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7"/>
      <c r="FW337" s="27"/>
      <c r="FX337" s="28">
        <v>6.2</v>
      </c>
      <c r="FY337" s="26">
        <v>79</v>
      </c>
      <c r="FZ337" s="25"/>
      <c r="GA337" s="26">
        <v>51</v>
      </c>
      <c r="GB337" s="26">
        <v>60</v>
      </c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</row>
    <row r="338" spans="1:220" ht="15.75" customHeight="1" x14ac:dyDescent="0.2">
      <c r="A338" s="57">
        <v>43720.534363425926</v>
      </c>
      <c r="B338" s="26">
        <v>594521</v>
      </c>
      <c r="C338" s="26">
        <v>234.8</v>
      </c>
      <c r="D338" s="86" t="s">
        <v>398</v>
      </c>
      <c r="E338" s="32">
        <f t="shared" si="15"/>
        <v>0</v>
      </c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58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7"/>
      <c r="FW338" s="27"/>
      <c r="FX338" s="28">
        <v>9.8000000000000007</v>
      </c>
      <c r="FY338" s="26">
        <v>130</v>
      </c>
      <c r="FZ338" s="25"/>
      <c r="GA338" s="25"/>
      <c r="GB338" s="26">
        <v>95</v>
      </c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</row>
    <row r="339" spans="1:220" ht="15.75" customHeight="1" x14ac:dyDescent="0.2">
      <c r="A339" s="57">
        <v>43720.534363425926</v>
      </c>
      <c r="B339" s="26">
        <v>594521</v>
      </c>
      <c r="C339" s="26">
        <v>223.7</v>
      </c>
      <c r="D339" s="86" t="s">
        <v>399</v>
      </c>
      <c r="E339" s="32">
        <f t="shared" si="15"/>
        <v>0</v>
      </c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58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7"/>
      <c r="FW339" s="27"/>
      <c r="FX339" s="28"/>
      <c r="FY339" s="26">
        <v>37.700000000000003</v>
      </c>
      <c r="FZ339" s="26">
        <v>124</v>
      </c>
      <c r="GA339" s="25"/>
      <c r="GB339" s="26">
        <v>62</v>
      </c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</row>
    <row r="340" spans="1:220" ht="15.75" customHeight="1" x14ac:dyDescent="0.2">
      <c r="A340" s="57">
        <v>43720.534363425926</v>
      </c>
      <c r="B340" s="26">
        <v>594521</v>
      </c>
      <c r="C340" s="26">
        <v>158.63999999999999</v>
      </c>
      <c r="D340" s="86" t="s">
        <v>400</v>
      </c>
      <c r="E340" s="32">
        <f t="shared" si="15"/>
        <v>0</v>
      </c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58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7"/>
      <c r="FW340" s="27"/>
      <c r="FX340" s="28">
        <v>47.64</v>
      </c>
      <c r="FY340" s="26">
        <v>31</v>
      </c>
      <c r="FZ340" s="26">
        <v>80</v>
      </c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</row>
    <row r="341" spans="1:220" ht="15.75" customHeight="1" x14ac:dyDescent="0.2">
      <c r="A341" s="57">
        <v>43720.534363425926</v>
      </c>
      <c r="B341" s="26">
        <v>594521</v>
      </c>
      <c r="C341" s="26">
        <v>220.4</v>
      </c>
      <c r="D341" s="86" t="s">
        <v>401</v>
      </c>
      <c r="E341" s="32">
        <f t="shared" si="15"/>
        <v>0</v>
      </c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58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7"/>
      <c r="FW341" s="27"/>
      <c r="FX341" s="28"/>
      <c r="FY341" s="26">
        <v>91.4</v>
      </c>
      <c r="FZ341" s="26">
        <v>99</v>
      </c>
      <c r="GA341" s="25"/>
      <c r="GB341" s="26">
        <v>30</v>
      </c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</row>
    <row r="342" spans="1:220" ht="15.75" customHeight="1" x14ac:dyDescent="0.2">
      <c r="A342" s="57">
        <v>43720.530057870368</v>
      </c>
      <c r="B342" s="26">
        <v>594519</v>
      </c>
      <c r="C342" s="26">
        <v>225.9</v>
      </c>
      <c r="D342" s="86" t="s">
        <v>402</v>
      </c>
      <c r="E342" s="32">
        <f t="shared" si="15"/>
        <v>0</v>
      </c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58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7"/>
      <c r="FW342" s="27"/>
      <c r="FX342" s="28"/>
      <c r="FY342" s="25"/>
      <c r="FZ342" s="25"/>
      <c r="GA342" s="25"/>
      <c r="GB342" s="26">
        <v>225.9</v>
      </c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</row>
    <row r="343" spans="1:220" ht="15.75" customHeight="1" x14ac:dyDescent="0.2">
      <c r="A343" s="57">
        <v>43720.530057870368</v>
      </c>
      <c r="B343" s="26">
        <v>594519</v>
      </c>
      <c r="C343" s="29">
        <v>194.91</v>
      </c>
      <c r="D343" s="86" t="s">
        <v>403</v>
      </c>
      <c r="E343" s="32">
        <f t="shared" si="15"/>
        <v>0</v>
      </c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58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7"/>
      <c r="FW343" s="27"/>
      <c r="FX343" s="28"/>
      <c r="FY343" s="26">
        <v>84.91</v>
      </c>
      <c r="FZ343" s="26">
        <v>61</v>
      </c>
      <c r="GA343" s="25"/>
      <c r="GB343" s="26">
        <v>49</v>
      </c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</row>
    <row r="344" spans="1:220" ht="15.75" customHeight="1" x14ac:dyDescent="0.2">
      <c r="A344" s="57">
        <v>43720.530057870368</v>
      </c>
      <c r="B344" s="26">
        <v>594519</v>
      </c>
      <c r="C344" s="29">
        <v>194.5</v>
      </c>
      <c r="D344" s="86" t="s">
        <v>404</v>
      </c>
      <c r="E344" s="32">
        <f t="shared" si="15"/>
        <v>-4.0000000000020464E-2</v>
      </c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58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7"/>
      <c r="FW344" s="27"/>
      <c r="FX344" s="28"/>
      <c r="FY344" s="26">
        <v>87.54</v>
      </c>
      <c r="FZ344" s="26">
        <v>72</v>
      </c>
      <c r="GA344" s="25"/>
      <c r="GB344" s="26">
        <v>35</v>
      </c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</row>
    <row r="345" spans="1:220" ht="15.75" customHeight="1" x14ac:dyDescent="0.2">
      <c r="A345" s="57">
        <v>43720.530057870368</v>
      </c>
      <c r="B345" s="26">
        <v>594519</v>
      </c>
      <c r="C345" s="29">
        <v>150</v>
      </c>
      <c r="D345" s="86" t="s">
        <v>405</v>
      </c>
      <c r="E345" s="32">
        <f t="shared" si="15"/>
        <v>0</v>
      </c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58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7"/>
      <c r="FW345" s="27"/>
      <c r="FX345" s="28">
        <v>20</v>
      </c>
      <c r="FY345" s="26">
        <v>55</v>
      </c>
      <c r="FZ345" s="26">
        <v>75</v>
      </c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</row>
    <row r="346" spans="1:220" ht="15.75" customHeight="1" x14ac:dyDescent="0.2">
      <c r="A346" s="57">
        <v>43720.530057870368</v>
      </c>
      <c r="B346" s="26">
        <v>594519</v>
      </c>
      <c r="C346" s="29">
        <v>177.5</v>
      </c>
      <c r="D346" s="86" t="s">
        <v>406</v>
      </c>
      <c r="E346" s="32">
        <f t="shared" si="15"/>
        <v>0</v>
      </c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58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7"/>
      <c r="FW346" s="27"/>
      <c r="FX346" s="28">
        <v>65.5</v>
      </c>
      <c r="FY346" s="25"/>
      <c r="FZ346" s="26">
        <v>112</v>
      </c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</row>
    <row r="347" spans="1:220" ht="15.75" customHeight="1" x14ac:dyDescent="0.2">
      <c r="A347" s="57">
        <v>43720.530057870368</v>
      </c>
      <c r="B347" s="26">
        <v>594519</v>
      </c>
      <c r="C347" s="29">
        <v>189.1</v>
      </c>
      <c r="D347" s="86" t="s">
        <v>407</v>
      </c>
      <c r="E347" s="32">
        <f t="shared" si="15"/>
        <v>0</v>
      </c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7"/>
      <c r="FW347" s="27"/>
      <c r="FX347" s="28"/>
      <c r="FY347" s="25"/>
      <c r="FZ347" s="26">
        <v>189.1</v>
      </c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</row>
    <row r="348" spans="1:220" ht="15.75" customHeight="1" x14ac:dyDescent="0.2">
      <c r="A348" s="57">
        <v>43720.508113425924</v>
      </c>
      <c r="B348" s="26">
        <v>594514</v>
      </c>
      <c r="C348" s="26">
        <v>187.92</v>
      </c>
      <c r="D348" s="86" t="s">
        <v>408</v>
      </c>
      <c r="E348" s="32">
        <f t="shared" si="15"/>
        <v>-6.0000000000030695E-2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58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7"/>
      <c r="FW348" s="27"/>
      <c r="FX348" s="28"/>
      <c r="FY348" s="25"/>
      <c r="FZ348" s="26">
        <v>88.98</v>
      </c>
      <c r="GA348" s="25"/>
      <c r="GB348" s="26">
        <v>99</v>
      </c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</row>
    <row r="349" spans="1:220" ht="15.75" customHeight="1" x14ac:dyDescent="0.2">
      <c r="A349" s="57">
        <v>43720.508113425924</v>
      </c>
      <c r="B349" s="26">
        <v>594514</v>
      </c>
      <c r="C349" s="26">
        <v>209.35</v>
      </c>
      <c r="D349" s="86" t="s">
        <v>409</v>
      </c>
      <c r="E349" s="32">
        <f t="shared" si="15"/>
        <v>0</v>
      </c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58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7"/>
      <c r="FW349" s="27"/>
      <c r="FX349" s="28">
        <v>12.35</v>
      </c>
      <c r="FY349" s="26">
        <v>53</v>
      </c>
      <c r="FZ349" s="26">
        <v>55</v>
      </c>
      <c r="GA349" s="25"/>
      <c r="GB349" s="26">
        <v>89</v>
      </c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</row>
    <row r="350" spans="1:220" ht="15.75" customHeight="1" x14ac:dyDescent="0.2">
      <c r="A350" s="57">
        <v>43720.508113425924</v>
      </c>
      <c r="B350" s="26">
        <v>594514</v>
      </c>
      <c r="C350" s="26">
        <v>200</v>
      </c>
      <c r="D350" s="86" t="s">
        <v>410</v>
      </c>
      <c r="E350" s="32">
        <f t="shared" si="15"/>
        <v>-7.9999999999984084E-2</v>
      </c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7"/>
      <c r="FW350" s="27"/>
      <c r="FX350" s="28"/>
      <c r="FY350" s="26">
        <v>56.08</v>
      </c>
      <c r="FZ350" s="26">
        <v>114</v>
      </c>
      <c r="GA350" s="25"/>
      <c r="GB350" s="26">
        <v>30</v>
      </c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</row>
    <row r="351" spans="1:220" ht="15.75" customHeight="1" x14ac:dyDescent="0.2">
      <c r="A351" s="57">
        <v>43720.508113425924</v>
      </c>
      <c r="B351" s="26">
        <v>594514</v>
      </c>
      <c r="C351" s="26">
        <v>204.77</v>
      </c>
      <c r="D351" s="86" t="s">
        <v>411</v>
      </c>
      <c r="E351" s="32">
        <f t="shared" si="15"/>
        <v>0</v>
      </c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58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7"/>
      <c r="FW351" s="27"/>
      <c r="FX351" s="28"/>
      <c r="FY351" s="26">
        <v>61.77</v>
      </c>
      <c r="FZ351" s="26">
        <v>45</v>
      </c>
      <c r="GA351" s="25"/>
      <c r="GB351" s="26">
        <v>98</v>
      </c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</row>
    <row r="352" spans="1:220" ht="15.75" customHeight="1" x14ac:dyDescent="0.2">
      <c r="A352" s="57">
        <v>43720.508113425924</v>
      </c>
      <c r="B352" s="26">
        <v>594514</v>
      </c>
      <c r="C352" s="26">
        <v>190.29</v>
      </c>
      <c r="D352" s="86" t="s">
        <v>412</v>
      </c>
      <c r="E352" s="32">
        <f t="shared" si="15"/>
        <v>0</v>
      </c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58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7"/>
      <c r="FW352" s="27"/>
      <c r="FX352" s="28"/>
      <c r="FY352" s="26">
        <v>78.290000000000006</v>
      </c>
      <c r="FZ352" s="26">
        <v>21</v>
      </c>
      <c r="GA352" s="25"/>
      <c r="GB352" s="26">
        <v>91</v>
      </c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</row>
    <row r="353" spans="1:220" ht="15.75" customHeight="1" x14ac:dyDescent="0.2">
      <c r="A353" s="57">
        <v>43720.508113425924</v>
      </c>
      <c r="B353" s="26">
        <v>594514</v>
      </c>
      <c r="C353" s="26">
        <v>203</v>
      </c>
      <c r="D353" s="86" t="s">
        <v>413</v>
      </c>
      <c r="E353" s="32">
        <f t="shared" si="15"/>
        <v>-6.0000000000002274E-2</v>
      </c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7"/>
      <c r="FW353" s="27"/>
      <c r="FX353" s="28">
        <v>6.06</v>
      </c>
      <c r="FY353" s="26">
        <v>92</v>
      </c>
      <c r="FZ353" s="26">
        <v>75</v>
      </c>
      <c r="GA353" s="25"/>
      <c r="GB353" s="26">
        <v>30</v>
      </c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</row>
    <row r="354" spans="1:220" ht="15.75" customHeight="1" x14ac:dyDescent="0.2">
      <c r="A354" s="57">
        <v>43720.508113425924</v>
      </c>
      <c r="B354" s="26">
        <v>594514</v>
      </c>
      <c r="C354" s="26">
        <v>207.67</v>
      </c>
      <c r="D354" s="86" t="s">
        <v>414</v>
      </c>
      <c r="E354" s="32">
        <f t="shared" si="15"/>
        <v>0</v>
      </c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58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7"/>
      <c r="FW354" s="27"/>
      <c r="FX354" s="28"/>
      <c r="FY354" s="26">
        <v>44.08</v>
      </c>
      <c r="FZ354" s="26">
        <v>98</v>
      </c>
      <c r="GA354" s="25"/>
      <c r="GB354" s="26">
        <v>65.59</v>
      </c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</row>
    <row r="355" spans="1:220" ht="15.75" customHeight="1" x14ac:dyDescent="0.2">
      <c r="A355" s="57">
        <v>43720.508113425924</v>
      </c>
      <c r="B355" s="26">
        <v>594514</v>
      </c>
      <c r="C355" s="26">
        <v>197.6</v>
      </c>
      <c r="D355" s="86" t="s">
        <v>415</v>
      </c>
      <c r="E355" s="32">
        <f t="shared" si="15"/>
        <v>3.9999999999992042E-2</v>
      </c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7"/>
      <c r="FW355" s="27"/>
      <c r="FX355" s="28"/>
      <c r="FY355" s="26">
        <v>77.56</v>
      </c>
      <c r="FZ355" s="26">
        <v>90</v>
      </c>
      <c r="GA355" s="25"/>
      <c r="GB355" s="26">
        <v>30</v>
      </c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</row>
    <row r="356" spans="1:220" ht="15.75" customHeight="1" x14ac:dyDescent="0.2">
      <c r="A356" s="57">
        <v>43720.508113425924</v>
      </c>
      <c r="B356" s="26">
        <v>594514</v>
      </c>
      <c r="C356" s="26">
        <v>192.1</v>
      </c>
      <c r="D356" s="86" t="s">
        <v>416</v>
      </c>
      <c r="E356" s="32">
        <f t="shared" si="15"/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7"/>
      <c r="FW356" s="27"/>
      <c r="FX356" s="28"/>
      <c r="FY356" s="25"/>
      <c r="FZ356" s="25"/>
      <c r="GA356" s="26">
        <v>42.1</v>
      </c>
      <c r="GB356" s="26">
        <v>150</v>
      </c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</row>
    <row r="357" spans="1:220" ht="15.75" customHeight="1" x14ac:dyDescent="0.2">
      <c r="A357" s="57">
        <v>43720.508113425924</v>
      </c>
      <c r="B357" s="26">
        <v>594514</v>
      </c>
      <c r="C357" s="26">
        <v>189.46</v>
      </c>
      <c r="D357" s="86" t="s">
        <v>417</v>
      </c>
      <c r="E357" s="32">
        <f t="shared" si="15"/>
        <v>0</v>
      </c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58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7"/>
      <c r="FW357" s="27"/>
      <c r="FX357" s="28"/>
      <c r="FY357" s="26">
        <v>54.46</v>
      </c>
      <c r="FZ357" s="26">
        <v>50</v>
      </c>
      <c r="GA357" s="25"/>
      <c r="GB357" s="26">
        <v>85</v>
      </c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</row>
    <row r="358" spans="1:220" ht="15.75" customHeight="1" x14ac:dyDescent="0.2">
      <c r="A358" s="57">
        <v>43720.508113425924</v>
      </c>
      <c r="B358" s="26">
        <v>594514</v>
      </c>
      <c r="C358" s="26">
        <v>234.39</v>
      </c>
      <c r="D358" s="86" t="s">
        <v>418</v>
      </c>
      <c r="E358" s="32">
        <f t="shared" si="15"/>
        <v>0</v>
      </c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58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7"/>
      <c r="FW358" s="27"/>
      <c r="FX358" s="28">
        <v>53.39</v>
      </c>
      <c r="FY358" s="26">
        <v>100</v>
      </c>
      <c r="FZ358" s="26">
        <v>19</v>
      </c>
      <c r="GA358" s="25"/>
      <c r="GB358" s="25"/>
      <c r="GC358" s="26">
        <v>62</v>
      </c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</row>
    <row r="359" spans="1:220" ht="15.75" customHeight="1" x14ac:dyDescent="0.2">
      <c r="A359" s="57">
        <v>43720.508113425924</v>
      </c>
      <c r="B359" s="26">
        <v>594514</v>
      </c>
      <c r="C359" s="29">
        <v>215</v>
      </c>
      <c r="D359" s="86" t="s">
        <v>419</v>
      </c>
      <c r="E359" s="32">
        <f t="shared" si="15"/>
        <v>0</v>
      </c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58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7"/>
      <c r="FW359" s="27"/>
      <c r="FX359" s="28">
        <v>38</v>
      </c>
      <c r="FY359" s="26">
        <v>48</v>
      </c>
      <c r="FZ359" s="26">
        <v>67</v>
      </c>
      <c r="GA359" s="25"/>
      <c r="GB359" s="25"/>
      <c r="GC359" s="26">
        <v>62</v>
      </c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</row>
    <row r="360" spans="1:220" ht="15.75" customHeight="1" x14ac:dyDescent="0.2">
      <c r="A360" s="57">
        <v>43720.508113425924</v>
      </c>
      <c r="B360" s="26">
        <v>594514</v>
      </c>
      <c r="C360" s="26">
        <v>190.2</v>
      </c>
      <c r="D360" s="86" t="s">
        <v>420</v>
      </c>
      <c r="E360" s="32">
        <f t="shared" si="15"/>
        <v>0</v>
      </c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58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7"/>
      <c r="FW360" s="27"/>
      <c r="FX360" s="28">
        <v>40.200000000000003</v>
      </c>
      <c r="FY360" s="25"/>
      <c r="FZ360" s="26">
        <v>51</v>
      </c>
      <c r="GA360" s="25"/>
      <c r="GB360" s="26">
        <v>99</v>
      </c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</row>
    <row r="361" spans="1:220" ht="15.75" customHeight="1" x14ac:dyDescent="0.2">
      <c r="A361" s="57">
        <v>43720.508113425924</v>
      </c>
      <c r="B361" s="26">
        <v>594514</v>
      </c>
      <c r="C361" s="26">
        <v>200.8</v>
      </c>
      <c r="D361" s="86" t="s">
        <v>421</v>
      </c>
      <c r="E361" s="32">
        <f t="shared" si="15"/>
        <v>0</v>
      </c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58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7"/>
      <c r="FW361" s="27"/>
      <c r="FX361" s="28"/>
      <c r="FY361" s="26">
        <v>54.8</v>
      </c>
      <c r="FZ361" s="26">
        <v>116</v>
      </c>
      <c r="GA361" s="25"/>
      <c r="GB361" s="26">
        <v>30</v>
      </c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</row>
    <row r="362" spans="1:220" ht="15.75" customHeight="1" x14ac:dyDescent="0.2">
      <c r="A362" s="57">
        <v>43720.508113425924</v>
      </c>
      <c r="B362" s="26">
        <v>594514</v>
      </c>
      <c r="C362" s="26">
        <v>195.8</v>
      </c>
      <c r="D362" s="86" t="s">
        <v>422</v>
      </c>
      <c r="E362" s="32">
        <f t="shared" si="15"/>
        <v>0</v>
      </c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7"/>
      <c r="FW362" s="27"/>
      <c r="FX362" s="28"/>
      <c r="FY362" s="26">
        <v>74.8</v>
      </c>
      <c r="FZ362" s="26">
        <v>90</v>
      </c>
      <c r="GA362" s="25"/>
      <c r="GB362" s="26">
        <v>31</v>
      </c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</row>
    <row r="363" spans="1:220" ht="15.75" customHeight="1" x14ac:dyDescent="0.2">
      <c r="A363" s="57">
        <v>43720.508113425924</v>
      </c>
      <c r="B363" s="26">
        <v>594514</v>
      </c>
      <c r="C363" s="26">
        <v>208.48</v>
      </c>
      <c r="D363" s="86" t="s">
        <v>423</v>
      </c>
      <c r="E363" s="32">
        <f t="shared" si="15"/>
        <v>0</v>
      </c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7"/>
      <c r="FW363" s="27"/>
      <c r="FX363" s="28"/>
      <c r="FY363" s="25"/>
      <c r="FZ363" s="25"/>
      <c r="GA363" s="25"/>
      <c r="GB363" s="26">
        <v>208.48</v>
      </c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</row>
    <row r="364" spans="1:220" ht="15.75" customHeight="1" x14ac:dyDescent="0.2">
      <c r="A364" s="57">
        <v>43720.508113425924</v>
      </c>
      <c r="B364" s="26">
        <v>594514</v>
      </c>
      <c r="C364" s="26">
        <v>201.5</v>
      </c>
      <c r="D364" s="86" t="s">
        <v>424</v>
      </c>
      <c r="E364" s="32">
        <f t="shared" si="15"/>
        <v>0</v>
      </c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7"/>
      <c r="FW364" s="27"/>
      <c r="FX364" s="28"/>
      <c r="FY364" s="26">
        <v>40.5</v>
      </c>
      <c r="FZ364" s="26">
        <v>70</v>
      </c>
      <c r="GA364" s="25"/>
      <c r="GB364" s="26">
        <v>91</v>
      </c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</row>
    <row r="365" spans="1:220" ht="15.75" customHeight="1" x14ac:dyDescent="0.2">
      <c r="A365" s="57">
        <v>43720.508113425924</v>
      </c>
      <c r="B365" s="26">
        <v>594514</v>
      </c>
      <c r="C365" s="26">
        <v>205.4</v>
      </c>
      <c r="D365" s="86" t="s">
        <v>425</v>
      </c>
      <c r="E365" s="32">
        <f t="shared" si="15"/>
        <v>0</v>
      </c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7"/>
      <c r="FW365" s="27"/>
      <c r="FX365" s="28">
        <v>51.4</v>
      </c>
      <c r="FY365" s="26">
        <v>20</v>
      </c>
      <c r="FZ365" s="26">
        <v>55</v>
      </c>
      <c r="GA365" s="25"/>
      <c r="GB365" s="26">
        <v>79</v>
      </c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</row>
    <row r="366" spans="1:220" ht="15.75" customHeight="1" x14ac:dyDescent="0.2">
      <c r="A366" s="57">
        <v>43720.508113425924</v>
      </c>
      <c r="B366" s="26">
        <v>594514</v>
      </c>
      <c r="C366" s="26">
        <v>201</v>
      </c>
      <c r="D366" s="86" t="s">
        <v>426</v>
      </c>
      <c r="E366" s="32">
        <f t="shared" si="15"/>
        <v>0</v>
      </c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7"/>
      <c r="FW366" s="27"/>
      <c r="FX366" s="28"/>
      <c r="FY366" s="26">
        <v>79</v>
      </c>
      <c r="FZ366" s="26">
        <v>57</v>
      </c>
      <c r="GA366" s="25"/>
      <c r="GB366" s="26">
        <v>65</v>
      </c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</row>
    <row r="367" spans="1:220" ht="15.75" customHeight="1" x14ac:dyDescent="0.2">
      <c r="A367" s="57">
        <v>43719.668217592596</v>
      </c>
      <c r="B367" s="26">
        <v>549386</v>
      </c>
      <c r="C367" s="26">
        <v>204.2</v>
      </c>
      <c r="D367" s="86" t="s">
        <v>427</v>
      </c>
      <c r="E367" s="32">
        <f t="shared" si="15"/>
        <v>0</v>
      </c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7"/>
      <c r="FW367" s="27"/>
      <c r="FX367" s="28"/>
      <c r="FY367" s="25"/>
      <c r="FZ367" s="25"/>
      <c r="GA367" s="25"/>
      <c r="GB367" s="25"/>
      <c r="GC367" s="26">
        <v>204.2</v>
      </c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</row>
    <row r="368" spans="1:220" ht="15.75" customHeight="1" x14ac:dyDescent="0.2">
      <c r="A368" s="57">
        <v>43719.668217592596</v>
      </c>
      <c r="B368" s="26">
        <v>549386</v>
      </c>
      <c r="C368" s="26">
        <v>197.7</v>
      </c>
      <c r="D368" s="86" t="s">
        <v>428</v>
      </c>
      <c r="E368" s="32">
        <f t="shared" si="15"/>
        <v>0</v>
      </c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7"/>
      <c r="FW368" s="27"/>
      <c r="FX368" s="28"/>
      <c r="FY368" s="25"/>
      <c r="FZ368" s="25"/>
      <c r="GA368" s="25"/>
      <c r="GB368" s="25"/>
      <c r="GC368" s="26">
        <v>197.7</v>
      </c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</row>
    <row r="369" spans="1:220" ht="15.75" customHeight="1" x14ac:dyDescent="0.2">
      <c r="A369" s="57">
        <v>43719.775173611109</v>
      </c>
      <c r="B369" s="26">
        <v>594383</v>
      </c>
      <c r="C369" s="26">
        <v>223</v>
      </c>
      <c r="D369" s="86" t="s">
        <v>429</v>
      </c>
      <c r="E369" s="32">
        <f t="shared" si="15"/>
        <v>0</v>
      </c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7"/>
      <c r="FW369" s="27"/>
      <c r="FX369" s="28"/>
      <c r="FY369" s="25"/>
      <c r="FZ369" s="25"/>
      <c r="GA369" s="25"/>
      <c r="GB369" s="25"/>
      <c r="GC369" s="26">
        <v>223</v>
      </c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</row>
    <row r="370" spans="1:220" ht="15.75" customHeight="1" x14ac:dyDescent="0.2">
      <c r="A370" s="57">
        <v>43719.771354166667</v>
      </c>
      <c r="B370" s="26">
        <v>594382</v>
      </c>
      <c r="C370" s="26">
        <v>220.05</v>
      </c>
      <c r="D370" s="86" t="s">
        <v>430</v>
      </c>
      <c r="E370" s="32">
        <f t="shared" si="15"/>
        <v>0</v>
      </c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7"/>
      <c r="FW370" s="27"/>
      <c r="FX370" s="28"/>
      <c r="FY370" s="25"/>
      <c r="FZ370" s="25"/>
      <c r="GA370" s="25"/>
      <c r="GB370" s="25"/>
      <c r="GC370" s="26">
        <v>220.05</v>
      </c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</row>
    <row r="371" spans="1:220" ht="15.75" customHeight="1" x14ac:dyDescent="0.2">
      <c r="A371" s="57">
        <v>43719.771354166667</v>
      </c>
      <c r="B371" s="26">
        <v>594382</v>
      </c>
      <c r="C371" s="26">
        <v>210.8</v>
      </c>
      <c r="D371" s="86" t="s">
        <v>431</v>
      </c>
      <c r="E371" s="32">
        <f t="shared" si="15"/>
        <v>0</v>
      </c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7"/>
      <c r="FW371" s="27"/>
      <c r="FX371" s="28"/>
      <c r="FY371" s="25"/>
      <c r="FZ371" s="25"/>
      <c r="GA371" s="25"/>
      <c r="GB371" s="25"/>
      <c r="GC371" s="26">
        <v>210.8</v>
      </c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</row>
    <row r="372" spans="1:220" ht="15.75" customHeight="1" x14ac:dyDescent="0.2">
      <c r="A372" s="57">
        <v>43719.765543981484</v>
      </c>
      <c r="B372" s="26">
        <v>594381</v>
      </c>
      <c r="C372" s="26">
        <v>163.69999999999999</v>
      </c>
      <c r="D372" s="86" t="s">
        <v>432</v>
      </c>
      <c r="E372" s="32">
        <f t="shared" si="15"/>
        <v>0</v>
      </c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7"/>
      <c r="FW372" s="27"/>
      <c r="FX372" s="28"/>
      <c r="FY372" s="25"/>
      <c r="FZ372" s="25"/>
      <c r="GA372" s="25"/>
      <c r="GB372" s="25"/>
      <c r="GC372" s="26">
        <v>163.69999999999999</v>
      </c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</row>
    <row r="373" spans="1:220" ht="15.75" customHeight="1" x14ac:dyDescent="0.2">
      <c r="A373" s="57">
        <v>43719.765543981484</v>
      </c>
      <c r="B373" s="26">
        <v>594381</v>
      </c>
      <c r="C373" s="26">
        <v>196.3</v>
      </c>
      <c r="D373" s="86" t="s">
        <v>433</v>
      </c>
      <c r="E373" s="32">
        <f t="shared" si="15"/>
        <v>0</v>
      </c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7"/>
      <c r="FW373" s="27"/>
      <c r="FX373" s="28"/>
      <c r="FY373" s="25"/>
      <c r="FZ373" s="25"/>
      <c r="GA373" s="25"/>
      <c r="GB373" s="25"/>
      <c r="GC373" s="26">
        <v>196.3</v>
      </c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</row>
    <row r="374" spans="1:220" ht="15.75" customHeight="1" x14ac:dyDescent="0.2">
      <c r="A374" s="57">
        <v>43719.765543981484</v>
      </c>
      <c r="B374" s="26">
        <v>594381</v>
      </c>
      <c r="C374" s="26">
        <v>191</v>
      </c>
      <c r="D374" s="86" t="s">
        <v>434</v>
      </c>
      <c r="E374" s="32">
        <f t="shared" si="15"/>
        <v>0</v>
      </c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7"/>
      <c r="FW374" s="27"/>
      <c r="FX374" s="28"/>
      <c r="FY374" s="25"/>
      <c r="FZ374" s="25"/>
      <c r="GA374" s="25"/>
      <c r="GB374" s="25"/>
      <c r="GC374" s="26">
        <v>191</v>
      </c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</row>
    <row r="375" spans="1:220" ht="15.75" customHeight="1" x14ac:dyDescent="0.2">
      <c r="A375" s="57">
        <v>43719.765543981484</v>
      </c>
      <c r="B375" s="26">
        <v>594381</v>
      </c>
      <c r="C375" s="26">
        <v>207.3</v>
      </c>
      <c r="D375" s="86" t="s">
        <v>435</v>
      </c>
      <c r="E375" s="32">
        <f t="shared" si="15"/>
        <v>0</v>
      </c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7"/>
      <c r="FW375" s="27"/>
      <c r="FX375" s="28"/>
      <c r="FY375" s="25"/>
      <c r="FZ375" s="25"/>
      <c r="GA375" s="25"/>
      <c r="GB375" s="25"/>
      <c r="GC375" s="26">
        <v>207.3</v>
      </c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</row>
    <row r="376" spans="1:220" ht="15.75" customHeight="1" x14ac:dyDescent="0.2">
      <c r="A376" s="57">
        <v>43719.765543981484</v>
      </c>
      <c r="B376" s="26">
        <v>594381</v>
      </c>
      <c r="C376" s="26">
        <v>200.87</v>
      </c>
      <c r="D376" s="86" t="s">
        <v>436</v>
      </c>
      <c r="E376" s="32">
        <f t="shared" si="15"/>
        <v>0</v>
      </c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7"/>
      <c r="FW376" s="27"/>
      <c r="FX376" s="28"/>
      <c r="FY376" s="25"/>
      <c r="FZ376" s="25"/>
      <c r="GA376" s="25"/>
      <c r="GB376" s="25"/>
      <c r="GC376" s="26">
        <v>200.87</v>
      </c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</row>
    <row r="377" spans="1:220" ht="15.75" customHeight="1" x14ac:dyDescent="0.2">
      <c r="A377" s="57">
        <v>43719.771354166667</v>
      </c>
      <c r="B377" s="26">
        <v>594382</v>
      </c>
      <c r="C377" s="26">
        <v>164.82</v>
      </c>
      <c r="D377" s="86" t="s">
        <v>437</v>
      </c>
      <c r="E377" s="32">
        <f t="shared" si="15"/>
        <v>0</v>
      </c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7"/>
      <c r="FW377" s="27"/>
      <c r="FX377" s="28"/>
      <c r="FY377" s="25"/>
      <c r="FZ377" s="25"/>
      <c r="GA377" s="25"/>
      <c r="GB377" s="25"/>
      <c r="GC377" s="26">
        <v>116.82</v>
      </c>
      <c r="GD377" s="26">
        <v>48</v>
      </c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</row>
    <row r="378" spans="1:220" ht="15.75" customHeight="1" x14ac:dyDescent="0.2">
      <c r="A378" s="57">
        <v>43719.195335648146</v>
      </c>
      <c r="B378" s="26">
        <v>594282</v>
      </c>
      <c r="C378" s="26">
        <v>161.1</v>
      </c>
      <c r="D378" s="86" t="s">
        <v>438</v>
      </c>
      <c r="E378" s="32">
        <f t="shared" si="15"/>
        <v>0</v>
      </c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7"/>
      <c r="FW378" s="27"/>
      <c r="FX378" s="28"/>
      <c r="FY378" s="25"/>
      <c r="FZ378" s="25"/>
      <c r="GA378" s="25"/>
      <c r="GB378" s="25"/>
      <c r="GC378" s="26">
        <v>50.1</v>
      </c>
      <c r="GD378" s="26">
        <v>111</v>
      </c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</row>
    <row r="379" spans="1:220" ht="15.75" customHeight="1" x14ac:dyDescent="0.2">
      <c r="A379" s="57">
        <v>43719.195335648146</v>
      </c>
      <c r="B379" s="26">
        <v>594282</v>
      </c>
      <c r="C379" s="26">
        <v>158.5</v>
      </c>
      <c r="D379" s="86" t="s">
        <v>439</v>
      </c>
      <c r="E379" s="32">
        <f t="shared" si="15"/>
        <v>0</v>
      </c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7"/>
      <c r="FW379" s="27"/>
      <c r="FX379" s="28"/>
      <c r="FY379" s="25"/>
      <c r="FZ379" s="25"/>
      <c r="GA379" s="25"/>
      <c r="GB379" s="25"/>
      <c r="GC379" s="26">
        <v>158.5</v>
      </c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</row>
    <row r="380" spans="1:220" ht="14.25" customHeight="1" x14ac:dyDescent="0.2">
      <c r="A380" s="57">
        <v>43719.195335648146</v>
      </c>
      <c r="B380" s="26">
        <v>594282</v>
      </c>
      <c r="C380" s="26">
        <v>156.30000000000001</v>
      </c>
      <c r="D380" s="86" t="s">
        <v>440</v>
      </c>
      <c r="E380" s="32">
        <f t="shared" si="15"/>
        <v>0</v>
      </c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7"/>
      <c r="FW380" s="27"/>
      <c r="FX380" s="28"/>
      <c r="FY380" s="25"/>
      <c r="FZ380" s="25"/>
      <c r="GA380" s="25"/>
      <c r="GB380" s="25"/>
      <c r="GC380" s="26">
        <v>156.30000000000001</v>
      </c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</row>
    <row r="381" spans="1:220" ht="14.25" customHeight="1" x14ac:dyDescent="0.2">
      <c r="A381" s="57">
        <v>43719.195335648146</v>
      </c>
      <c r="B381" s="26">
        <v>594282</v>
      </c>
      <c r="C381" s="26">
        <v>161.03</v>
      </c>
      <c r="D381" s="86" t="s">
        <v>441</v>
      </c>
      <c r="E381" s="32">
        <f t="shared" ref="E381:E444" si="16">C381-SUM(AN381:HK381)</f>
        <v>0</v>
      </c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7"/>
      <c r="FW381" s="27"/>
      <c r="FX381" s="28"/>
      <c r="FY381" s="25"/>
      <c r="FZ381" s="25"/>
      <c r="GA381" s="25"/>
      <c r="GB381" s="25"/>
      <c r="GC381" s="26">
        <v>108.03</v>
      </c>
      <c r="GD381" s="26">
        <v>53</v>
      </c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</row>
    <row r="382" spans="1:220" ht="14.25" customHeight="1" x14ac:dyDescent="0.2">
      <c r="A382" s="57">
        <v>43719.195335648146</v>
      </c>
      <c r="B382" s="26">
        <v>594282</v>
      </c>
      <c r="C382" s="26">
        <v>166</v>
      </c>
      <c r="D382" s="86" t="s">
        <v>442</v>
      </c>
      <c r="E382" s="32">
        <f t="shared" si="16"/>
        <v>0</v>
      </c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7"/>
      <c r="FW382" s="27"/>
      <c r="FX382" s="28"/>
      <c r="FY382" s="25"/>
      <c r="FZ382" s="25"/>
      <c r="GA382" s="25"/>
      <c r="GB382" s="25"/>
      <c r="GC382" s="26">
        <v>166</v>
      </c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</row>
    <row r="383" spans="1:220" ht="14.25" customHeight="1" x14ac:dyDescent="0.2">
      <c r="A383" s="57">
        <v>43719.771354166667</v>
      </c>
      <c r="B383" s="26">
        <v>594282</v>
      </c>
      <c r="C383" s="26">
        <v>160.69999999999999</v>
      </c>
      <c r="D383" s="86" t="s">
        <v>443</v>
      </c>
      <c r="E383" s="32">
        <f t="shared" si="16"/>
        <v>0</v>
      </c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7"/>
      <c r="FW383" s="27"/>
      <c r="FX383" s="28"/>
      <c r="FY383" s="25"/>
      <c r="FZ383" s="25"/>
      <c r="GA383" s="25"/>
      <c r="GB383" s="25"/>
      <c r="GC383" s="26">
        <v>160.69999999999999</v>
      </c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</row>
    <row r="384" spans="1:220" ht="15.75" customHeight="1" x14ac:dyDescent="0.2">
      <c r="A384" s="57">
        <v>43719.195335648146</v>
      </c>
      <c r="B384" s="26">
        <v>594282</v>
      </c>
      <c r="C384" s="26">
        <v>197.3</v>
      </c>
      <c r="D384" s="86" t="s">
        <v>444</v>
      </c>
      <c r="E384" s="32">
        <f t="shared" si="16"/>
        <v>0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7"/>
      <c r="FW384" s="27"/>
      <c r="FX384" s="28"/>
      <c r="FY384" s="25"/>
      <c r="FZ384" s="25"/>
      <c r="GA384" s="25"/>
      <c r="GB384" s="25"/>
      <c r="GC384" s="26">
        <v>147.30000000000001</v>
      </c>
      <c r="GD384" s="26">
        <v>50</v>
      </c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</row>
    <row r="385" spans="1:220" ht="15.75" customHeight="1" x14ac:dyDescent="0.2">
      <c r="A385" s="57">
        <v>43719.195335648146</v>
      </c>
      <c r="B385" s="26">
        <v>594282</v>
      </c>
      <c r="C385" s="26">
        <v>161.30000000000001</v>
      </c>
      <c r="D385" s="86" t="s">
        <v>445</v>
      </c>
      <c r="E385" s="32">
        <f t="shared" si="16"/>
        <v>0</v>
      </c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7"/>
      <c r="FW385" s="27"/>
      <c r="FX385" s="28"/>
      <c r="FY385" s="25"/>
      <c r="FZ385" s="25"/>
      <c r="GA385" s="25"/>
      <c r="GB385" s="25"/>
      <c r="GC385" s="26">
        <v>105.3</v>
      </c>
      <c r="GD385" s="26">
        <v>56</v>
      </c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</row>
    <row r="386" spans="1:220" ht="15.75" customHeight="1" x14ac:dyDescent="0.2">
      <c r="A386" s="57">
        <v>43719.195335648146</v>
      </c>
      <c r="B386" s="26">
        <v>594282</v>
      </c>
      <c r="C386" s="26">
        <v>152.19999999999999</v>
      </c>
      <c r="D386" s="86" t="s">
        <v>446</v>
      </c>
      <c r="E386" s="32">
        <f t="shared" si="16"/>
        <v>0</v>
      </c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47"/>
      <c r="BN386" s="47"/>
      <c r="BO386" s="47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7"/>
      <c r="FW386" s="27"/>
      <c r="FX386" s="28"/>
      <c r="FY386" s="25"/>
      <c r="FZ386" s="25"/>
      <c r="GA386" s="25"/>
      <c r="GB386" s="25"/>
      <c r="GC386" s="26">
        <v>152.19999999999999</v>
      </c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</row>
    <row r="387" spans="1:220" ht="15.75" customHeight="1" x14ac:dyDescent="0.2">
      <c r="A387" s="58">
        <v>43718.343541666669</v>
      </c>
      <c r="B387" s="26">
        <v>594134</v>
      </c>
      <c r="C387" s="26">
        <v>102.32</v>
      </c>
      <c r="D387" s="86" t="s">
        <v>447</v>
      </c>
      <c r="E387" s="32">
        <f t="shared" si="16"/>
        <v>1.9999999999996021E-2</v>
      </c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7"/>
      <c r="FW387" s="27"/>
      <c r="FX387" s="28"/>
      <c r="FY387" s="25"/>
      <c r="FZ387" s="25"/>
      <c r="GA387" s="25"/>
      <c r="GB387" s="25"/>
      <c r="GC387" s="25"/>
      <c r="GD387" s="26">
        <v>102.3</v>
      </c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</row>
    <row r="388" spans="1:220" ht="15.75" customHeight="1" x14ac:dyDescent="0.2">
      <c r="A388" s="58">
        <v>43718.343541666669</v>
      </c>
      <c r="B388" s="26">
        <v>594134</v>
      </c>
      <c r="C388" s="26">
        <v>101.05</v>
      </c>
      <c r="D388" s="86" t="s">
        <v>448</v>
      </c>
      <c r="E388" s="32">
        <f t="shared" si="16"/>
        <v>0</v>
      </c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7"/>
      <c r="FW388" s="27"/>
      <c r="FX388" s="28"/>
      <c r="FY388" s="25"/>
      <c r="FZ388" s="25"/>
      <c r="GA388" s="25"/>
      <c r="GB388" s="25"/>
      <c r="GC388" s="25"/>
      <c r="GD388" s="26">
        <v>101.05</v>
      </c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</row>
    <row r="389" spans="1:220" ht="15.75" customHeight="1" x14ac:dyDescent="0.2">
      <c r="A389" s="58">
        <v>43718.343541666669</v>
      </c>
      <c r="B389" s="26">
        <v>594134</v>
      </c>
      <c r="C389" s="26">
        <v>104.77</v>
      </c>
      <c r="D389" s="86" t="s">
        <v>449</v>
      </c>
      <c r="E389" s="32">
        <f t="shared" si="16"/>
        <v>-0.23000000000000398</v>
      </c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7"/>
      <c r="FW389" s="27"/>
      <c r="FX389" s="28"/>
      <c r="FY389" s="25"/>
      <c r="FZ389" s="25"/>
      <c r="GA389" s="25"/>
      <c r="GB389" s="25"/>
      <c r="GC389" s="25"/>
      <c r="GD389" s="26">
        <v>105</v>
      </c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</row>
    <row r="390" spans="1:220" ht="15.75" customHeight="1" x14ac:dyDescent="0.2">
      <c r="A390" s="58">
        <v>43718.343541666669</v>
      </c>
      <c r="B390" s="26">
        <v>594134</v>
      </c>
      <c r="C390" s="26">
        <v>100.35</v>
      </c>
      <c r="D390" s="86" t="s">
        <v>450</v>
      </c>
      <c r="E390" s="32">
        <f t="shared" si="16"/>
        <v>0</v>
      </c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7"/>
      <c r="FW390" s="27"/>
      <c r="FX390" s="28"/>
      <c r="FY390" s="25"/>
      <c r="FZ390" s="25"/>
      <c r="GA390" s="25"/>
      <c r="GB390" s="25"/>
      <c r="GC390" s="25"/>
      <c r="GD390" s="26">
        <v>100.35</v>
      </c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</row>
    <row r="391" spans="1:220" ht="15.75" customHeight="1" x14ac:dyDescent="0.2">
      <c r="A391" s="58">
        <v>43718.343541666669</v>
      </c>
      <c r="B391" s="26">
        <v>594134</v>
      </c>
      <c r="C391" s="26">
        <v>101.55</v>
      </c>
      <c r="D391" s="86" t="s">
        <v>451</v>
      </c>
      <c r="E391" s="32">
        <f t="shared" si="16"/>
        <v>0</v>
      </c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7"/>
      <c r="FW391" s="27"/>
      <c r="FX391" s="28"/>
      <c r="FY391" s="25"/>
      <c r="FZ391" s="25"/>
      <c r="GA391" s="25"/>
      <c r="GB391" s="25"/>
      <c r="GC391" s="25"/>
      <c r="GD391" s="26">
        <v>101.55</v>
      </c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</row>
    <row r="392" spans="1:220" ht="15.75" customHeight="1" x14ac:dyDescent="0.2">
      <c r="A392" s="58">
        <v>43718.343541666669</v>
      </c>
      <c r="B392" s="26">
        <v>594134</v>
      </c>
      <c r="C392" s="26">
        <v>100.93</v>
      </c>
      <c r="D392" s="86" t="s">
        <v>452</v>
      </c>
      <c r="E392" s="32">
        <f t="shared" si="16"/>
        <v>0</v>
      </c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7"/>
      <c r="FW392" s="27"/>
      <c r="FX392" s="28"/>
      <c r="FY392" s="25"/>
      <c r="FZ392" s="25"/>
      <c r="GA392" s="25"/>
      <c r="GB392" s="25"/>
      <c r="GC392" s="25"/>
      <c r="GD392" s="26">
        <v>100.93</v>
      </c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</row>
    <row r="393" spans="1:220" ht="15.75" customHeight="1" x14ac:dyDescent="0.2">
      <c r="A393" s="58">
        <v>43718.343541666669</v>
      </c>
      <c r="B393" s="26">
        <v>594134</v>
      </c>
      <c r="C393" s="26">
        <v>103.77</v>
      </c>
      <c r="D393" s="86" t="s">
        <v>453</v>
      </c>
      <c r="E393" s="32">
        <f t="shared" si="16"/>
        <v>0</v>
      </c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7"/>
      <c r="FW393" s="27"/>
      <c r="FX393" s="28"/>
      <c r="FY393" s="25"/>
      <c r="FZ393" s="25"/>
      <c r="GA393" s="25"/>
      <c r="GB393" s="25"/>
      <c r="GC393" s="25"/>
      <c r="GD393" s="26">
        <v>103.77</v>
      </c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</row>
    <row r="394" spans="1:220" ht="15.75" customHeight="1" x14ac:dyDescent="0.2">
      <c r="A394" s="58">
        <v>43718.343541666669</v>
      </c>
      <c r="B394" s="26">
        <v>594134</v>
      </c>
      <c r="C394" s="26">
        <v>104.2</v>
      </c>
      <c r="D394" s="86" t="s">
        <v>454</v>
      </c>
      <c r="E394" s="32">
        <f t="shared" si="16"/>
        <v>0</v>
      </c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7"/>
      <c r="FW394" s="27"/>
      <c r="FX394" s="28"/>
      <c r="FY394" s="25"/>
      <c r="FZ394" s="25"/>
      <c r="GA394" s="25"/>
      <c r="GB394" s="25"/>
      <c r="GC394" s="25"/>
      <c r="GD394" s="26">
        <v>69.2</v>
      </c>
      <c r="GE394" s="26">
        <v>35</v>
      </c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</row>
    <row r="395" spans="1:220" ht="15.75" customHeight="1" x14ac:dyDescent="0.2">
      <c r="A395" s="58">
        <v>43718.323865740742</v>
      </c>
      <c r="B395" s="26">
        <v>594129</v>
      </c>
      <c r="C395" s="26">
        <v>100.44</v>
      </c>
      <c r="D395" s="86" t="s">
        <v>455</v>
      </c>
      <c r="E395" s="32">
        <f t="shared" si="16"/>
        <v>0</v>
      </c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7"/>
      <c r="FW395" s="27"/>
      <c r="FX395" s="28"/>
      <c r="FY395" s="25"/>
      <c r="FZ395" s="25"/>
      <c r="GA395" s="25"/>
      <c r="GB395" s="25"/>
      <c r="GC395" s="25"/>
      <c r="GD395" s="26">
        <v>70.44</v>
      </c>
      <c r="GE395" s="26">
        <v>30</v>
      </c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</row>
    <row r="396" spans="1:220" ht="15.75" customHeight="1" x14ac:dyDescent="0.2">
      <c r="A396" s="58">
        <v>43718.323865740742</v>
      </c>
      <c r="B396" s="26">
        <v>594129</v>
      </c>
      <c r="C396" s="26">
        <v>100.84</v>
      </c>
      <c r="D396" s="86" t="s">
        <v>456</v>
      </c>
      <c r="E396" s="32">
        <f t="shared" si="16"/>
        <v>-0.15999999999999659</v>
      </c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7"/>
      <c r="FW396" s="27"/>
      <c r="FX396" s="28"/>
      <c r="FY396" s="25"/>
      <c r="FZ396" s="25"/>
      <c r="GA396" s="25"/>
      <c r="GB396" s="25"/>
      <c r="GC396" s="25"/>
      <c r="GD396" s="26">
        <v>34</v>
      </c>
      <c r="GE396" s="26">
        <v>67</v>
      </c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</row>
    <row r="397" spans="1:220" ht="15.75" customHeight="1" x14ac:dyDescent="0.2">
      <c r="A397" s="58">
        <v>43718.323865740742</v>
      </c>
      <c r="B397" s="26">
        <v>594129</v>
      </c>
      <c r="C397" s="26">
        <v>100.91</v>
      </c>
      <c r="D397" s="86" t="s">
        <v>457</v>
      </c>
      <c r="E397" s="32">
        <f t="shared" si="16"/>
        <v>9.9999999999909051E-3</v>
      </c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7"/>
      <c r="FW397" s="27"/>
      <c r="FX397" s="28"/>
      <c r="FY397" s="25"/>
      <c r="FZ397" s="25"/>
      <c r="GA397" s="25"/>
      <c r="GB397" s="25"/>
      <c r="GC397" s="25"/>
      <c r="GD397" s="26">
        <v>35.9</v>
      </c>
      <c r="GE397" s="26">
        <v>65</v>
      </c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</row>
    <row r="398" spans="1:220" ht="15.75" customHeight="1" x14ac:dyDescent="0.2">
      <c r="A398" s="58">
        <v>43718.323865740742</v>
      </c>
      <c r="B398" s="26">
        <v>594129</v>
      </c>
      <c r="C398" s="26">
        <v>103.4</v>
      </c>
      <c r="D398" s="86" t="s">
        <v>458</v>
      </c>
      <c r="E398" s="32">
        <f t="shared" si="16"/>
        <v>1.0000000000005116E-2</v>
      </c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7"/>
      <c r="FW398" s="27"/>
      <c r="FX398" s="28"/>
      <c r="FY398" s="25"/>
      <c r="FZ398" s="25"/>
      <c r="GA398" s="25"/>
      <c r="GB398" s="25"/>
      <c r="GC398" s="25"/>
      <c r="GD398" s="26">
        <v>78.39</v>
      </c>
      <c r="GE398" s="26">
        <v>25</v>
      </c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</row>
    <row r="399" spans="1:220" ht="15.75" customHeight="1" x14ac:dyDescent="0.2">
      <c r="A399" s="58">
        <v>43718.323865740742</v>
      </c>
      <c r="B399" s="26">
        <v>594129</v>
      </c>
      <c r="C399" s="26">
        <v>103.54</v>
      </c>
      <c r="D399" s="86" t="s">
        <v>459</v>
      </c>
      <c r="E399" s="32">
        <f t="shared" si="16"/>
        <v>-0.45999999999999375</v>
      </c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7"/>
      <c r="FW399" s="27"/>
      <c r="FX399" s="28"/>
      <c r="FY399" s="25"/>
      <c r="FZ399" s="25"/>
      <c r="GA399" s="25"/>
      <c r="GB399" s="25"/>
      <c r="GC399" s="25"/>
      <c r="GD399" s="26">
        <v>64</v>
      </c>
      <c r="GE399" s="26">
        <v>40</v>
      </c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</row>
    <row r="400" spans="1:220" ht="15.75" customHeight="1" x14ac:dyDescent="0.2">
      <c r="A400" s="58">
        <v>43718.323865740742</v>
      </c>
      <c r="B400" s="26">
        <v>594129</v>
      </c>
      <c r="C400" s="26">
        <v>101.81</v>
      </c>
      <c r="D400" s="86" t="s">
        <v>460</v>
      </c>
      <c r="E400" s="32">
        <f t="shared" si="16"/>
        <v>0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7"/>
      <c r="FW400" s="27"/>
      <c r="FX400" s="28"/>
      <c r="FY400" s="25"/>
      <c r="FZ400" s="25"/>
      <c r="GA400" s="25"/>
      <c r="GB400" s="25"/>
      <c r="GC400" s="25"/>
      <c r="GD400" s="26">
        <v>101.81</v>
      </c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</row>
    <row r="401" spans="1:220" ht="15.75" customHeight="1" x14ac:dyDescent="0.2">
      <c r="A401" s="58">
        <v>43718.323865740742</v>
      </c>
      <c r="B401" s="26">
        <v>594129</v>
      </c>
      <c r="C401" s="26">
        <v>102.62</v>
      </c>
      <c r="D401" s="86" t="s">
        <v>461</v>
      </c>
      <c r="E401" s="32">
        <f t="shared" si="16"/>
        <v>0</v>
      </c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7"/>
      <c r="FW401" s="27"/>
      <c r="FX401" s="28"/>
      <c r="FY401" s="25"/>
      <c r="FZ401" s="25"/>
      <c r="GA401" s="25"/>
      <c r="GB401" s="25"/>
      <c r="GC401" s="25"/>
      <c r="GD401" s="26">
        <v>102.62</v>
      </c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</row>
    <row r="402" spans="1:220" ht="15.75" customHeight="1" x14ac:dyDescent="0.2">
      <c r="A402" s="58">
        <v>43718.323865740742</v>
      </c>
      <c r="B402" s="26">
        <v>594129</v>
      </c>
      <c r="C402" s="26">
        <v>103.85</v>
      </c>
      <c r="D402" s="86" t="s">
        <v>462</v>
      </c>
      <c r="E402" s="32">
        <f t="shared" si="16"/>
        <v>0</v>
      </c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7"/>
      <c r="FW402" s="27"/>
      <c r="FX402" s="28"/>
      <c r="FY402" s="25"/>
      <c r="FZ402" s="25"/>
      <c r="GA402" s="25"/>
      <c r="GB402" s="25"/>
      <c r="GC402" s="25"/>
      <c r="GD402" s="26">
        <v>103.85</v>
      </c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</row>
    <row r="403" spans="1:220" ht="15.75" customHeight="1" x14ac:dyDescent="0.2">
      <c r="A403" s="58">
        <v>43718.323865740742</v>
      </c>
      <c r="B403" s="26">
        <v>594129</v>
      </c>
      <c r="C403" s="26">
        <v>100.66</v>
      </c>
      <c r="D403" s="86" t="s">
        <v>463</v>
      </c>
      <c r="E403" s="32">
        <f t="shared" si="16"/>
        <v>0</v>
      </c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7"/>
      <c r="FW403" s="27"/>
      <c r="FX403" s="28"/>
      <c r="FY403" s="25"/>
      <c r="FZ403" s="25"/>
      <c r="GA403" s="25"/>
      <c r="GB403" s="25"/>
      <c r="GC403" s="25"/>
      <c r="GD403" s="26">
        <v>100.66</v>
      </c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</row>
    <row r="404" spans="1:220" ht="15.75" customHeight="1" x14ac:dyDescent="0.2">
      <c r="A404" s="58">
        <v>43716.983981481484</v>
      </c>
      <c r="B404" s="26">
        <v>593922</v>
      </c>
      <c r="C404" s="26">
        <v>200</v>
      </c>
      <c r="D404" s="86" t="s">
        <v>464</v>
      </c>
      <c r="E404" s="32">
        <f t="shared" si="16"/>
        <v>0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7"/>
      <c r="FW404" s="27"/>
      <c r="FX404" s="28"/>
      <c r="FY404" s="25"/>
      <c r="FZ404" s="25"/>
      <c r="GA404" s="25"/>
      <c r="GB404" s="25"/>
      <c r="GC404" s="25"/>
      <c r="GD404" s="25"/>
      <c r="GE404" s="26">
        <v>49</v>
      </c>
      <c r="GF404" s="26">
        <v>151</v>
      </c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</row>
    <row r="405" spans="1:220" ht="15.75" customHeight="1" x14ac:dyDescent="0.2">
      <c r="A405" s="58">
        <v>43716.983981481484</v>
      </c>
      <c r="B405" s="26">
        <v>593922</v>
      </c>
      <c r="C405" s="26">
        <v>220</v>
      </c>
      <c r="D405" s="86" t="s">
        <v>465</v>
      </c>
      <c r="E405" s="32">
        <f t="shared" si="16"/>
        <v>0</v>
      </c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7"/>
      <c r="FW405" s="27"/>
      <c r="FX405" s="28"/>
      <c r="FY405" s="25"/>
      <c r="FZ405" s="25"/>
      <c r="GA405" s="25"/>
      <c r="GB405" s="25"/>
      <c r="GC405" s="25"/>
      <c r="GD405" s="25"/>
      <c r="GE405" s="26">
        <v>110</v>
      </c>
      <c r="GF405" s="26">
        <v>110</v>
      </c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</row>
    <row r="406" spans="1:220" ht="15.75" customHeight="1" x14ac:dyDescent="0.2">
      <c r="A406" s="58">
        <v>43716.983981481484</v>
      </c>
      <c r="B406" s="26">
        <v>593922</v>
      </c>
      <c r="C406" s="26">
        <v>170</v>
      </c>
      <c r="D406" s="86" t="s">
        <v>466</v>
      </c>
      <c r="E406" s="32">
        <f t="shared" si="16"/>
        <v>0</v>
      </c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7"/>
      <c r="FW406" s="27"/>
      <c r="FX406" s="28"/>
      <c r="FY406" s="25"/>
      <c r="FZ406" s="25"/>
      <c r="GA406" s="25"/>
      <c r="GB406" s="25"/>
      <c r="GC406" s="25"/>
      <c r="GD406" s="25"/>
      <c r="GE406" s="26">
        <v>54</v>
      </c>
      <c r="GF406" s="26">
        <v>116</v>
      </c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</row>
    <row r="407" spans="1:220" ht="15.75" customHeight="1" x14ac:dyDescent="0.2">
      <c r="A407" s="58">
        <v>43716.983981481484</v>
      </c>
      <c r="B407" s="26">
        <v>593922</v>
      </c>
      <c r="C407" s="26">
        <v>200</v>
      </c>
      <c r="D407" s="86" t="s">
        <v>467</v>
      </c>
      <c r="E407" s="32">
        <f t="shared" si="16"/>
        <v>0</v>
      </c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7"/>
      <c r="FW407" s="27"/>
      <c r="FX407" s="28"/>
      <c r="FY407" s="25"/>
      <c r="FZ407" s="25"/>
      <c r="GA407" s="25"/>
      <c r="GB407" s="25"/>
      <c r="GC407" s="25"/>
      <c r="GD407" s="25"/>
      <c r="GE407" s="26">
        <v>91</v>
      </c>
      <c r="GF407" s="26">
        <v>109</v>
      </c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</row>
    <row r="408" spans="1:220" ht="15.75" customHeight="1" x14ac:dyDescent="0.2">
      <c r="A408" s="58">
        <v>43716.983981481484</v>
      </c>
      <c r="B408" s="26">
        <v>593922</v>
      </c>
      <c r="C408" s="26">
        <v>210</v>
      </c>
      <c r="D408" s="86" t="s">
        <v>468</v>
      </c>
      <c r="E408" s="32">
        <f t="shared" si="16"/>
        <v>0</v>
      </c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7"/>
      <c r="FW408" s="27"/>
      <c r="FX408" s="28"/>
      <c r="FY408" s="25"/>
      <c r="FZ408" s="25"/>
      <c r="GA408" s="25"/>
      <c r="GB408" s="25"/>
      <c r="GC408" s="25"/>
      <c r="GD408" s="25"/>
      <c r="GE408" s="26">
        <v>60</v>
      </c>
      <c r="GF408" s="26">
        <v>150</v>
      </c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</row>
    <row r="409" spans="1:220" ht="15.75" customHeight="1" x14ac:dyDescent="0.2">
      <c r="A409" s="58">
        <v>43716.983981481484</v>
      </c>
      <c r="B409" s="26">
        <v>593922</v>
      </c>
      <c r="C409" s="26">
        <v>220</v>
      </c>
      <c r="D409" s="86" t="s">
        <v>469</v>
      </c>
      <c r="E409" s="32">
        <f t="shared" si="16"/>
        <v>0</v>
      </c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7"/>
      <c r="FW409" s="27"/>
      <c r="FX409" s="28"/>
      <c r="FY409" s="25"/>
      <c r="FZ409" s="25"/>
      <c r="GA409" s="25"/>
      <c r="GB409" s="25"/>
      <c r="GC409" s="25"/>
      <c r="GD409" s="25"/>
      <c r="GE409" s="26">
        <v>97</v>
      </c>
      <c r="GF409" s="26">
        <v>123</v>
      </c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</row>
    <row r="410" spans="1:220" ht="15.75" customHeight="1" x14ac:dyDescent="0.2">
      <c r="A410" s="58">
        <v>43716.983981481484</v>
      </c>
      <c r="B410" s="26">
        <v>593922</v>
      </c>
      <c r="C410" s="26">
        <v>200</v>
      </c>
      <c r="D410" s="86" t="s">
        <v>470</v>
      </c>
      <c r="E410" s="32">
        <f t="shared" si="16"/>
        <v>0</v>
      </c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7"/>
      <c r="FW410" s="27"/>
      <c r="FX410" s="28"/>
      <c r="FY410" s="25"/>
      <c r="FZ410" s="25"/>
      <c r="GA410" s="25"/>
      <c r="GB410" s="25"/>
      <c r="GC410" s="25"/>
      <c r="GD410" s="25"/>
      <c r="GE410" s="26">
        <v>90</v>
      </c>
      <c r="GF410" s="26">
        <v>110</v>
      </c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</row>
    <row r="411" spans="1:220" ht="15.75" customHeight="1" x14ac:dyDescent="0.2">
      <c r="A411" s="58">
        <v>43716.983981481484</v>
      </c>
      <c r="B411" s="26">
        <v>593922</v>
      </c>
      <c r="C411" s="26">
        <v>210</v>
      </c>
      <c r="D411" s="86" t="s">
        <v>471</v>
      </c>
      <c r="E411" s="32">
        <f t="shared" si="16"/>
        <v>0</v>
      </c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7"/>
      <c r="FW411" s="27"/>
      <c r="FX411" s="28"/>
      <c r="FY411" s="25"/>
      <c r="FZ411" s="25"/>
      <c r="GA411" s="25"/>
      <c r="GB411" s="25"/>
      <c r="GC411" s="25"/>
      <c r="GD411" s="25"/>
      <c r="GE411" s="26">
        <v>84</v>
      </c>
      <c r="GF411" s="26">
        <v>126</v>
      </c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</row>
    <row r="412" spans="1:220" ht="15.75" customHeight="1" x14ac:dyDescent="0.2">
      <c r="A412" s="58">
        <v>43716.983981481484</v>
      </c>
      <c r="B412" s="26">
        <v>593922</v>
      </c>
      <c r="C412" s="26">
        <v>180</v>
      </c>
      <c r="D412" s="86" t="s">
        <v>472</v>
      </c>
      <c r="E412" s="32">
        <f t="shared" si="16"/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7"/>
      <c r="FW412" s="27"/>
      <c r="FX412" s="28"/>
      <c r="FY412" s="25"/>
      <c r="FZ412" s="25"/>
      <c r="GA412" s="25"/>
      <c r="GB412" s="25"/>
      <c r="GC412" s="25"/>
      <c r="GD412" s="25"/>
      <c r="GE412" s="26">
        <v>102</v>
      </c>
      <c r="GF412" s="26">
        <v>78</v>
      </c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</row>
    <row r="413" spans="1:220" ht="15.75" customHeight="1" x14ac:dyDescent="0.2">
      <c r="A413" s="58">
        <v>43716.983981481484</v>
      </c>
      <c r="B413" s="26">
        <v>593922</v>
      </c>
      <c r="C413" s="26">
        <v>190</v>
      </c>
      <c r="D413" s="86" t="s">
        <v>473</v>
      </c>
      <c r="E413" s="32">
        <f t="shared" si="16"/>
        <v>0</v>
      </c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7"/>
      <c r="FW413" s="27"/>
      <c r="FX413" s="28"/>
      <c r="FY413" s="25"/>
      <c r="FZ413" s="25"/>
      <c r="GA413" s="25"/>
      <c r="GB413" s="25"/>
      <c r="GC413" s="25"/>
      <c r="GD413" s="25"/>
      <c r="GE413" s="26">
        <v>119</v>
      </c>
      <c r="GF413" s="26">
        <v>71</v>
      </c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</row>
    <row r="414" spans="1:220" ht="15.75" customHeight="1" x14ac:dyDescent="0.2">
      <c r="A414" s="58">
        <v>43716.406875000001</v>
      </c>
      <c r="B414" s="26">
        <v>593817</v>
      </c>
      <c r="C414" s="26">
        <v>219.81</v>
      </c>
      <c r="D414" s="86" t="s">
        <v>474</v>
      </c>
      <c r="E414" s="32">
        <f t="shared" si="16"/>
        <v>9.9999999999909051E-3</v>
      </c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7"/>
      <c r="FW414" s="27"/>
      <c r="FX414" s="28"/>
      <c r="FY414" s="25"/>
      <c r="FZ414" s="25"/>
      <c r="GA414" s="25"/>
      <c r="GB414" s="25"/>
      <c r="GC414" s="25"/>
      <c r="GD414" s="25"/>
      <c r="GE414" s="26">
        <v>120</v>
      </c>
      <c r="GF414" s="26">
        <v>99.8</v>
      </c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</row>
    <row r="415" spans="1:220" ht="15.75" customHeight="1" x14ac:dyDescent="0.2">
      <c r="A415" s="58">
        <v>43716.406875000001</v>
      </c>
      <c r="B415" s="26">
        <v>593817</v>
      </c>
      <c r="C415" s="26">
        <v>425.04</v>
      </c>
      <c r="D415" s="86" t="s">
        <v>475</v>
      </c>
      <c r="E415" s="32">
        <f t="shared" si="16"/>
        <v>4.0000000000020464E-2</v>
      </c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7"/>
      <c r="FW415" s="27"/>
      <c r="FX415" s="28"/>
      <c r="FY415" s="25"/>
      <c r="FZ415" s="25"/>
      <c r="GA415" s="25"/>
      <c r="GB415" s="25"/>
      <c r="GC415" s="25"/>
      <c r="GD415" s="25"/>
      <c r="GE415" s="26">
        <v>186</v>
      </c>
      <c r="GF415" s="26">
        <v>239</v>
      </c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</row>
    <row r="416" spans="1:220" ht="15.75" customHeight="1" x14ac:dyDescent="0.2">
      <c r="A416" s="58">
        <v>43716.406875000001</v>
      </c>
      <c r="B416" s="26">
        <v>593817</v>
      </c>
      <c r="C416" s="26">
        <v>483</v>
      </c>
      <c r="D416" s="86" t="s">
        <v>476</v>
      </c>
      <c r="E416" s="32">
        <f t="shared" si="16"/>
        <v>0</v>
      </c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7"/>
      <c r="FW416" s="27"/>
      <c r="FX416" s="28"/>
      <c r="FY416" s="25"/>
      <c r="FZ416" s="25"/>
      <c r="GA416" s="25"/>
      <c r="GB416" s="25"/>
      <c r="GC416" s="25"/>
      <c r="GD416" s="25"/>
      <c r="GE416" s="26">
        <v>212</v>
      </c>
      <c r="GF416" s="26">
        <v>271</v>
      </c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</row>
    <row r="417" spans="1:220" ht="15.75" customHeight="1" x14ac:dyDescent="0.2">
      <c r="A417" s="58">
        <v>43716.406875000001</v>
      </c>
      <c r="B417" s="26">
        <v>593817</v>
      </c>
      <c r="C417" s="26">
        <v>215.6</v>
      </c>
      <c r="D417" s="86" t="s">
        <v>477</v>
      </c>
      <c r="E417" s="32">
        <f t="shared" si="16"/>
        <v>0</v>
      </c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7"/>
      <c r="FW417" s="27"/>
      <c r="FX417" s="28"/>
      <c r="FY417" s="25"/>
      <c r="FZ417" s="25"/>
      <c r="GA417" s="25"/>
      <c r="GB417" s="25"/>
      <c r="GC417" s="25"/>
      <c r="GD417" s="25"/>
      <c r="GE417" s="26">
        <v>79.599999999999994</v>
      </c>
      <c r="GF417" s="26">
        <v>136</v>
      </c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</row>
    <row r="418" spans="1:220" ht="15.75" customHeight="1" x14ac:dyDescent="0.2">
      <c r="A418" s="58">
        <v>43716.406875000001</v>
      </c>
      <c r="B418" s="26">
        <v>593817</v>
      </c>
      <c r="C418" s="26">
        <v>209.28</v>
      </c>
      <c r="D418" s="86" t="s">
        <v>478</v>
      </c>
      <c r="E418" s="32">
        <f t="shared" si="16"/>
        <v>0</v>
      </c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7"/>
      <c r="FW418" s="27"/>
      <c r="FX418" s="28"/>
      <c r="FY418" s="25"/>
      <c r="FZ418" s="25"/>
      <c r="GA418" s="25"/>
      <c r="GB418" s="25"/>
      <c r="GC418" s="25"/>
      <c r="GD418" s="25"/>
      <c r="GE418" s="26">
        <v>82.28</v>
      </c>
      <c r="GF418" s="26">
        <v>127</v>
      </c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</row>
    <row r="419" spans="1:220" ht="15.75" customHeight="1" x14ac:dyDescent="0.2">
      <c r="A419" s="58">
        <v>43716.393229166664</v>
      </c>
      <c r="B419" s="26">
        <v>593816</v>
      </c>
      <c r="C419" s="26">
        <v>190.14</v>
      </c>
      <c r="D419" s="86" t="s">
        <v>479</v>
      </c>
      <c r="E419" s="32">
        <f t="shared" si="16"/>
        <v>0</v>
      </c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7"/>
      <c r="FW419" s="27"/>
      <c r="FX419" s="28"/>
      <c r="FY419" s="25"/>
      <c r="FZ419" s="25"/>
      <c r="GA419" s="25"/>
      <c r="GB419" s="25"/>
      <c r="GC419" s="25"/>
      <c r="GD419" s="25"/>
      <c r="GE419" s="26">
        <v>71.14</v>
      </c>
      <c r="GF419" s="26">
        <v>119</v>
      </c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</row>
    <row r="420" spans="1:220" ht="15.75" customHeight="1" x14ac:dyDescent="0.2">
      <c r="A420" s="58">
        <v>43716.393229166664</v>
      </c>
      <c r="B420" s="26">
        <v>593816</v>
      </c>
      <c r="C420" s="26">
        <v>189.38</v>
      </c>
      <c r="D420" s="86" t="s">
        <v>480</v>
      </c>
      <c r="E420" s="32">
        <f t="shared" si="16"/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7"/>
      <c r="FW420" s="27"/>
      <c r="FX420" s="28"/>
      <c r="FY420" s="25"/>
      <c r="FZ420" s="25"/>
      <c r="GA420" s="25"/>
      <c r="GB420" s="25"/>
      <c r="GC420" s="25"/>
      <c r="GD420" s="25"/>
      <c r="GE420" s="26">
        <v>87.38</v>
      </c>
      <c r="GF420" s="26">
        <v>102</v>
      </c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</row>
    <row r="421" spans="1:220" ht="15.75" customHeight="1" x14ac:dyDescent="0.2">
      <c r="A421" s="58">
        <v>43716.393229166664</v>
      </c>
      <c r="B421" s="26">
        <v>593816</v>
      </c>
      <c r="C421" s="26">
        <v>206.19</v>
      </c>
      <c r="D421" s="86" t="s">
        <v>177</v>
      </c>
      <c r="E421" s="32">
        <f t="shared" si="16"/>
        <v>-9.9999999999909051E-3</v>
      </c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7"/>
      <c r="FW421" s="27"/>
      <c r="FX421" s="28"/>
      <c r="FY421" s="25"/>
      <c r="FZ421" s="25"/>
      <c r="GA421" s="25"/>
      <c r="GB421" s="25"/>
      <c r="GC421" s="25"/>
      <c r="GD421" s="25"/>
      <c r="GE421" s="26">
        <v>16.2</v>
      </c>
      <c r="GF421" s="26">
        <v>190</v>
      </c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</row>
    <row r="422" spans="1:220" ht="15.75" customHeight="1" x14ac:dyDescent="0.2">
      <c r="A422" s="58">
        <v>43716.393229166664</v>
      </c>
      <c r="B422" s="26">
        <v>593816</v>
      </c>
      <c r="C422" s="26">
        <v>210.92</v>
      </c>
      <c r="D422" s="86" t="s">
        <v>481</v>
      </c>
      <c r="E422" s="32">
        <f t="shared" si="16"/>
        <v>0</v>
      </c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7"/>
      <c r="FW422" s="27"/>
      <c r="FX422" s="28"/>
      <c r="FY422" s="25"/>
      <c r="FZ422" s="25"/>
      <c r="GA422" s="25"/>
      <c r="GB422" s="25"/>
      <c r="GC422" s="25"/>
      <c r="GD422" s="25"/>
      <c r="GE422" s="26">
        <v>61.92</v>
      </c>
      <c r="GF422" s="26">
        <v>100</v>
      </c>
      <c r="GG422" s="26">
        <v>49</v>
      </c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</row>
    <row r="423" spans="1:220" ht="15.75" customHeight="1" x14ac:dyDescent="0.2">
      <c r="A423" s="58">
        <v>43716.393229166664</v>
      </c>
      <c r="B423" s="26">
        <v>593816</v>
      </c>
      <c r="C423" s="26">
        <v>202.42</v>
      </c>
      <c r="D423" s="86" t="s">
        <v>482</v>
      </c>
      <c r="E423" s="32">
        <f t="shared" si="16"/>
        <v>0</v>
      </c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7"/>
      <c r="FW423" s="27"/>
      <c r="FX423" s="28"/>
      <c r="FY423" s="25"/>
      <c r="FZ423" s="25"/>
      <c r="GA423" s="25"/>
      <c r="GB423" s="25"/>
      <c r="GC423" s="25"/>
      <c r="GD423" s="25"/>
      <c r="GE423" s="26">
        <v>67.42</v>
      </c>
      <c r="GF423" s="26">
        <v>135</v>
      </c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</row>
    <row r="424" spans="1:220" ht="15.75" customHeight="1" x14ac:dyDescent="0.2">
      <c r="A424" s="58">
        <v>43716.393229166664</v>
      </c>
      <c r="B424" s="26">
        <v>593816</v>
      </c>
      <c r="C424" s="26">
        <v>209.45</v>
      </c>
      <c r="D424" s="86" t="s">
        <v>179</v>
      </c>
      <c r="E424" s="32">
        <f t="shared" si="16"/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7"/>
      <c r="FW424" s="27"/>
      <c r="FX424" s="28"/>
      <c r="FY424" s="25"/>
      <c r="FZ424" s="25"/>
      <c r="GA424" s="25"/>
      <c r="GB424" s="25"/>
      <c r="GC424" s="25"/>
      <c r="GD424" s="25"/>
      <c r="GE424" s="26">
        <v>116.45</v>
      </c>
      <c r="GF424" s="26">
        <v>93</v>
      </c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</row>
    <row r="425" spans="1:220" ht="15.75" customHeight="1" x14ac:dyDescent="0.2">
      <c r="A425" s="58">
        <v>43716.393229166664</v>
      </c>
      <c r="B425" s="26">
        <v>593816</v>
      </c>
      <c r="C425" s="26">
        <v>200.13</v>
      </c>
      <c r="D425" s="86" t="s">
        <v>483</v>
      </c>
      <c r="E425" s="32">
        <f t="shared" si="16"/>
        <v>0</v>
      </c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7"/>
      <c r="FW425" s="27"/>
      <c r="FX425" s="28"/>
      <c r="FY425" s="25"/>
      <c r="FZ425" s="25"/>
      <c r="GA425" s="25"/>
      <c r="GB425" s="25"/>
      <c r="GC425" s="25"/>
      <c r="GD425" s="25"/>
      <c r="GE425" s="26">
        <v>87.13</v>
      </c>
      <c r="GF425" s="26">
        <v>113</v>
      </c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</row>
    <row r="426" spans="1:220" ht="15.75" customHeight="1" x14ac:dyDescent="0.2">
      <c r="A426" s="58">
        <v>43716.393229166664</v>
      </c>
      <c r="B426" s="26">
        <v>593816</v>
      </c>
      <c r="C426" s="26">
        <v>202.1</v>
      </c>
      <c r="D426" s="86" t="s">
        <v>484</v>
      </c>
      <c r="E426" s="32">
        <f t="shared" si="16"/>
        <v>9.9999999999909051E-3</v>
      </c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7"/>
      <c r="FW426" s="27"/>
      <c r="FX426" s="28"/>
      <c r="FY426" s="25"/>
      <c r="FZ426" s="25"/>
      <c r="GA426" s="25"/>
      <c r="GB426" s="25"/>
      <c r="GC426" s="25"/>
      <c r="GD426" s="25"/>
      <c r="GE426" s="26">
        <v>92.09</v>
      </c>
      <c r="GF426" s="26">
        <v>110</v>
      </c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</row>
    <row r="427" spans="1:220" ht="15.75" customHeight="1" x14ac:dyDescent="0.2">
      <c r="A427" s="58">
        <v>43715.487199074072</v>
      </c>
      <c r="B427" s="26">
        <v>593665</v>
      </c>
      <c r="C427" s="26">
        <v>149.63</v>
      </c>
      <c r="D427" s="86" t="s">
        <v>485</v>
      </c>
      <c r="E427" s="32">
        <f t="shared" si="16"/>
        <v>0</v>
      </c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7"/>
      <c r="FW427" s="27"/>
      <c r="FX427" s="28"/>
      <c r="FY427" s="25"/>
      <c r="FZ427" s="25"/>
      <c r="GA427" s="25"/>
      <c r="GB427" s="25"/>
      <c r="GC427" s="25"/>
      <c r="GD427" s="25"/>
      <c r="GE427" s="25"/>
      <c r="GF427" s="26">
        <v>25.63</v>
      </c>
      <c r="GG427" s="64">
        <v>124</v>
      </c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</row>
    <row r="428" spans="1:220" ht="15.75" customHeight="1" x14ac:dyDescent="0.2">
      <c r="A428" s="58">
        <v>43715.487199074072</v>
      </c>
      <c r="B428" s="26">
        <v>593665</v>
      </c>
      <c r="C428" s="26">
        <v>159.11000000000001</v>
      </c>
      <c r="D428" s="86" t="s">
        <v>486</v>
      </c>
      <c r="E428" s="32">
        <f t="shared" si="16"/>
        <v>0.11000000000001364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7"/>
      <c r="FW428" s="27"/>
      <c r="FX428" s="28"/>
      <c r="FY428" s="25"/>
      <c r="FZ428" s="25"/>
      <c r="GA428" s="25"/>
      <c r="GB428" s="25"/>
      <c r="GC428" s="25"/>
      <c r="GD428" s="25"/>
      <c r="GE428" s="25"/>
      <c r="GF428" s="25"/>
      <c r="GG428" s="64">
        <v>159</v>
      </c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</row>
    <row r="429" spans="1:220" ht="15.75" customHeight="1" x14ac:dyDescent="0.2">
      <c r="A429" s="58">
        <v>43715.487199074072</v>
      </c>
      <c r="B429" s="26">
        <v>593665</v>
      </c>
      <c r="C429" s="26">
        <v>113.67</v>
      </c>
      <c r="D429" s="86" t="s">
        <v>487</v>
      </c>
      <c r="E429" s="32">
        <f t="shared" si="16"/>
        <v>-0.32999999999999829</v>
      </c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7"/>
      <c r="FW429" s="27"/>
      <c r="FX429" s="28"/>
      <c r="FY429" s="25"/>
      <c r="FZ429" s="25"/>
      <c r="GA429" s="25"/>
      <c r="GB429" s="25"/>
      <c r="GC429" s="25"/>
      <c r="GD429" s="25"/>
      <c r="GE429" s="25"/>
      <c r="GF429" s="25"/>
      <c r="GG429" s="64">
        <v>114</v>
      </c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</row>
    <row r="430" spans="1:220" ht="15.75" customHeight="1" x14ac:dyDescent="0.2">
      <c r="A430" s="58">
        <v>43715.487199074072</v>
      </c>
      <c r="B430" s="26">
        <v>593665</v>
      </c>
      <c r="C430" s="26">
        <v>213.75</v>
      </c>
      <c r="D430" s="86" t="s">
        <v>488</v>
      </c>
      <c r="E430" s="32">
        <f t="shared" si="16"/>
        <v>0</v>
      </c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7"/>
      <c r="FW430" s="27"/>
      <c r="FX430" s="28"/>
      <c r="FY430" s="25"/>
      <c r="FZ430" s="25"/>
      <c r="GA430" s="25"/>
      <c r="GB430" s="25"/>
      <c r="GC430" s="25"/>
      <c r="GD430" s="25"/>
      <c r="GE430" s="25"/>
      <c r="GF430" s="26">
        <v>5.75</v>
      </c>
      <c r="GG430" s="64">
        <v>208</v>
      </c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</row>
    <row r="431" spans="1:220" ht="15.75" customHeight="1" x14ac:dyDescent="0.2">
      <c r="A431" s="58">
        <v>43715.487199074072</v>
      </c>
      <c r="B431" s="26">
        <v>593665</v>
      </c>
      <c r="C431" s="26">
        <v>183.18</v>
      </c>
      <c r="D431" s="86" t="s">
        <v>489</v>
      </c>
      <c r="E431" s="32">
        <f t="shared" si="16"/>
        <v>0</v>
      </c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7"/>
      <c r="FW431" s="27"/>
      <c r="FX431" s="28"/>
      <c r="FY431" s="25"/>
      <c r="FZ431" s="25"/>
      <c r="GA431" s="25"/>
      <c r="GB431" s="25"/>
      <c r="GC431" s="25"/>
      <c r="GD431" s="25"/>
      <c r="GE431" s="25"/>
      <c r="GF431" s="26">
        <v>36.18</v>
      </c>
      <c r="GG431" s="64">
        <v>147</v>
      </c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</row>
    <row r="432" spans="1:220" ht="15.75" customHeight="1" x14ac:dyDescent="0.2">
      <c r="A432" s="58">
        <v>43715.487199074072</v>
      </c>
      <c r="B432" s="26">
        <v>593665</v>
      </c>
      <c r="C432" s="26">
        <v>151.29</v>
      </c>
      <c r="D432" s="86" t="s">
        <v>490</v>
      </c>
      <c r="E432" s="32">
        <f t="shared" si="16"/>
        <v>0</v>
      </c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7"/>
      <c r="FW432" s="27"/>
      <c r="FX432" s="28"/>
      <c r="FY432" s="25"/>
      <c r="FZ432" s="25"/>
      <c r="GA432" s="25"/>
      <c r="GB432" s="25"/>
      <c r="GC432" s="25"/>
      <c r="GD432" s="25"/>
      <c r="GE432" s="25"/>
      <c r="GF432" s="26">
        <v>41.29</v>
      </c>
      <c r="GG432" s="64">
        <v>110</v>
      </c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</row>
    <row r="433" spans="1:220" ht="15.75" customHeight="1" x14ac:dyDescent="0.2">
      <c r="A433" s="58">
        <v>43715.487199074072</v>
      </c>
      <c r="B433" s="26">
        <v>593665</v>
      </c>
      <c r="C433" s="26">
        <v>196.42</v>
      </c>
      <c r="D433" s="86" t="s">
        <v>491</v>
      </c>
      <c r="E433" s="32">
        <f t="shared" si="16"/>
        <v>0</v>
      </c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7"/>
      <c r="FW433" s="27"/>
      <c r="FX433" s="28"/>
      <c r="FY433" s="25"/>
      <c r="FZ433" s="25"/>
      <c r="GA433" s="25"/>
      <c r="GB433" s="25"/>
      <c r="GC433" s="25"/>
      <c r="GD433" s="25"/>
      <c r="GE433" s="25"/>
      <c r="GF433" s="26">
        <v>2.42</v>
      </c>
      <c r="GG433" s="64">
        <v>194</v>
      </c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</row>
    <row r="434" spans="1:220" ht="15.75" customHeight="1" x14ac:dyDescent="0.2">
      <c r="A434" s="58">
        <v>43715.487199074072</v>
      </c>
      <c r="B434" s="26">
        <v>593665</v>
      </c>
      <c r="C434" s="26">
        <v>100.95</v>
      </c>
      <c r="D434" s="86" t="s">
        <v>492</v>
      </c>
      <c r="E434" s="32">
        <f t="shared" si="16"/>
        <v>0</v>
      </c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7"/>
      <c r="FW434" s="27"/>
      <c r="FX434" s="28"/>
      <c r="FY434" s="25"/>
      <c r="FZ434" s="25"/>
      <c r="GA434" s="25"/>
      <c r="GB434" s="25"/>
      <c r="GC434" s="25"/>
      <c r="GD434" s="25"/>
      <c r="GE434" s="25"/>
      <c r="GF434" s="26">
        <v>12.95</v>
      </c>
      <c r="GG434" s="64">
        <v>88</v>
      </c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</row>
    <row r="435" spans="1:220" ht="15.75" customHeight="1" x14ac:dyDescent="0.2">
      <c r="A435" s="58">
        <v>43715.487199074072</v>
      </c>
      <c r="B435" s="26">
        <v>593665</v>
      </c>
      <c r="C435" s="26">
        <v>105.42</v>
      </c>
      <c r="D435" s="86" t="s">
        <v>493</v>
      </c>
      <c r="E435" s="32">
        <f t="shared" si="16"/>
        <v>1.0000000000005116E-2</v>
      </c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7"/>
      <c r="FW435" s="27"/>
      <c r="FX435" s="28"/>
      <c r="FY435" s="25"/>
      <c r="FZ435" s="25"/>
      <c r="GA435" s="25"/>
      <c r="GB435" s="25"/>
      <c r="GC435" s="25"/>
      <c r="GD435" s="25"/>
      <c r="GE435" s="25"/>
      <c r="GF435" s="26">
        <v>6.41</v>
      </c>
      <c r="GG435" s="64">
        <v>99</v>
      </c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</row>
    <row r="436" spans="1:220" ht="15.75" customHeight="1" x14ac:dyDescent="0.2">
      <c r="A436" s="58">
        <v>43715.473391203705</v>
      </c>
      <c r="B436" s="26">
        <v>593664</v>
      </c>
      <c r="C436" s="26">
        <v>103.68</v>
      </c>
      <c r="D436" s="86" t="s">
        <v>494</v>
      </c>
      <c r="E436" s="32">
        <f t="shared" si="16"/>
        <v>0</v>
      </c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7"/>
      <c r="FW436" s="27"/>
      <c r="FX436" s="28"/>
      <c r="FY436" s="25"/>
      <c r="FZ436" s="25"/>
      <c r="GA436" s="25"/>
      <c r="GB436" s="25"/>
      <c r="GC436" s="25"/>
      <c r="GD436" s="25"/>
      <c r="GE436" s="25"/>
      <c r="GF436" s="26">
        <v>20.68</v>
      </c>
      <c r="GG436" s="64">
        <v>83</v>
      </c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</row>
    <row r="437" spans="1:220" ht="15.75" customHeight="1" x14ac:dyDescent="0.2">
      <c r="A437" s="58">
        <v>43715.473391203705</v>
      </c>
      <c r="B437" s="26">
        <v>593664</v>
      </c>
      <c r="C437" s="26">
        <v>113.82</v>
      </c>
      <c r="D437" s="86" t="s">
        <v>495</v>
      </c>
      <c r="E437" s="32">
        <f t="shared" si="16"/>
        <v>9.9999999999909051E-3</v>
      </c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7"/>
      <c r="FW437" s="27"/>
      <c r="FX437" s="28"/>
      <c r="FY437" s="25"/>
      <c r="FZ437" s="25"/>
      <c r="GA437" s="25"/>
      <c r="GB437" s="25"/>
      <c r="GC437" s="25"/>
      <c r="GD437" s="25"/>
      <c r="GE437" s="25"/>
      <c r="GF437" s="26">
        <v>26.81</v>
      </c>
      <c r="GG437" s="64">
        <v>87</v>
      </c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</row>
    <row r="438" spans="1:220" ht="15.75" customHeight="1" x14ac:dyDescent="0.2">
      <c r="A438" s="58">
        <v>43715.473391203705</v>
      </c>
      <c r="B438" s="26">
        <v>593664</v>
      </c>
      <c r="C438" s="26">
        <v>105.99</v>
      </c>
      <c r="D438" s="86" t="s">
        <v>496</v>
      </c>
      <c r="E438" s="32">
        <f t="shared" si="16"/>
        <v>-1.0000000000005116E-2</v>
      </c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7"/>
      <c r="FW438" s="27"/>
      <c r="FX438" s="28"/>
      <c r="FY438" s="25"/>
      <c r="FZ438" s="25"/>
      <c r="GA438" s="25"/>
      <c r="GB438" s="25"/>
      <c r="GC438" s="25"/>
      <c r="GD438" s="25"/>
      <c r="GE438" s="25"/>
      <c r="GF438" s="25"/>
      <c r="GG438" s="64">
        <v>106</v>
      </c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</row>
    <row r="439" spans="1:220" ht="15.75" customHeight="1" x14ac:dyDescent="0.2">
      <c r="A439" s="58">
        <v>43715.473391203705</v>
      </c>
      <c r="B439" s="26">
        <v>593664</v>
      </c>
      <c r="C439" s="26">
        <v>103.26</v>
      </c>
      <c r="D439" s="86" t="s">
        <v>497</v>
      </c>
      <c r="E439" s="32">
        <f t="shared" si="16"/>
        <v>0</v>
      </c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7"/>
      <c r="FW439" s="27"/>
      <c r="FX439" s="28"/>
      <c r="FY439" s="25"/>
      <c r="FZ439" s="25"/>
      <c r="GA439" s="25"/>
      <c r="GB439" s="25"/>
      <c r="GC439" s="25"/>
      <c r="GD439" s="25"/>
      <c r="GE439" s="25"/>
      <c r="GF439" s="25"/>
      <c r="GG439" s="64">
        <v>103.26</v>
      </c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</row>
    <row r="440" spans="1:220" ht="15.75" customHeight="1" x14ac:dyDescent="0.2">
      <c r="A440" s="58">
        <v>43715.473391203705</v>
      </c>
      <c r="B440" s="26">
        <v>593664</v>
      </c>
      <c r="C440" s="26">
        <v>101.02</v>
      </c>
      <c r="D440" s="86" t="s">
        <v>498</v>
      </c>
      <c r="E440" s="32">
        <f t="shared" si="16"/>
        <v>1.9999999999996021E-2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7"/>
      <c r="FW440" s="27"/>
      <c r="FX440" s="28"/>
      <c r="FY440" s="25"/>
      <c r="FZ440" s="25"/>
      <c r="GA440" s="25"/>
      <c r="GB440" s="25"/>
      <c r="GC440" s="25"/>
      <c r="GD440" s="25"/>
      <c r="GE440" s="25"/>
      <c r="GF440" s="26">
        <v>31</v>
      </c>
      <c r="GG440" s="64">
        <v>70</v>
      </c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</row>
    <row r="441" spans="1:220" ht="15.75" customHeight="1" x14ac:dyDescent="0.2">
      <c r="A441" s="58">
        <v>43715.473391203705</v>
      </c>
      <c r="B441" s="26">
        <v>593664</v>
      </c>
      <c r="C441" s="26">
        <v>102.66</v>
      </c>
      <c r="D441" s="86" t="s">
        <v>499</v>
      </c>
      <c r="E441" s="32">
        <f t="shared" si="16"/>
        <v>0</v>
      </c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7"/>
      <c r="FW441" s="27"/>
      <c r="FX441" s="28"/>
      <c r="FY441" s="25"/>
      <c r="FZ441" s="25"/>
      <c r="GA441" s="25"/>
      <c r="GB441" s="25"/>
      <c r="GC441" s="25"/>
      <c r="GD441" s="25"/>
      <c r="GE441" s="25"/>
      <c r="GF441" s="25"/>
      <c r="GG441" s="64">
        <v>102.66</v>
      </c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</row>
    <row r="442" spans="1:220" ht="15.75" customHeight="1" x14ac:dyDescent="0.2">
      <c r="A442" s="58">
        <v>43715.473391203705</v>
      </c>
      <c r="B442" s="26">
        <v>593664</v>
      </c>
      <c r="C442" s="26">
        <v>106.52</v>
      </c>
      <c r="D442" s="86" t="s">
        <v>500</v>
      </c>
      <c r="E442" s="32">
        <f t="shared" si="16"/>
        <v>0</v>
      </c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7"/>
      <c r="FW442" s="27"/>
      <c r="FX442" s="28"/>
      <c r="FY442" s="25"/>
      <c r="FZ442" s="25"/>
      <c r="GA442" s="25"/>
      <c r="GB442" s="25"/>
      <c r="GC442" s="25"/>
      <c r="GD442" s="25"/>
      <c r="GE442" s="25"/>
      <c r="GF442" s="25"/>
      <c r="GG442" s="64">
        <v>106.52</v>
      </c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</row>
    <row r="443" spans="1:220" ht="15.75" customHeight="1" x14ac:dyDescent="0.2">
      <c r="A443" s="58">
        <v>43715.473391203705</v>
      </c>
      <c r="B443" s="26">
        <v>593664</v>
      </c>
      <c r="C443" s="26">
        <v>101.83</v>
      </c>
      <c r="D443" s="86" t="s">
        <v>501</v>
      </c>
      <c r="E443" s="32">
        <f t="shared" si="16"/>
        <v>0</v>
      </c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7"/>
      <c r="FW443" s="27"/>
      <c r="FX443" s="28"/>
      <c r="FY443" s="25"/>
      <c r="FZ443" s="25"/>
      <c r="GA443" s="25"/>
      <c r="GB443" s="25"/>
      <c r="GC443" s="25"/>
      <c r="GD443" s="25"/>
      <c r="GE443" s="25"/>
      <c r="GF443" s="25"/>
      <c r="GG443" s="64">
        <v>101.83</v>
      </c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</row>
    <row r="444" spans="1:220" ht="15.75" customHeight="1" x14ac:dyDescent="0.2">
      <c r="A444" s="58">
        <v>43715.262465277781</v>
      </c>
      <c r="B444" s="26">
        <v>593631</v>
      </c>
      <c r="C444" s="26">
        <v>109.36</v>
      </c>
      <c r="D444" s="86" t="s">
        <v>176</v>
      </c>
      <c r="E444" s="32">
        <f t="shared" si="16"/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7"/>
      <c r="FW444" s="27"/>
      <c r="FX444" s="28"/>
      <c r="FY444" s="25"/>
      <c r="FZ444" s="25"/>
      <c r="GA444" s="25"/>
      <c r="GB444" s="25"/>
      <c r="GC444" s="25"/>
      <c r="GD444" s="25"/>
      <c r="GE444" s="25"/>
      <c r="GF444" s="25"/>
      <c r="GG444" s="64">
        <v>23.36</v>
      </c>
      <c r="GH444" s="26">
        <v>86</v>
      </c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</row>
    <row r="445" spans="1:220" ht="15.75" customHeight="1" x14ac:dyDescent="0.2">
      <c r="A445" s="58">
        <v>43715.262465277781</v>
      </c>
      <c r="B445" s="26">
        <v>593631</v>
      </c>
      <c r="C445" s="26">
        <v>102.65</v>
      </c>
      <c r="D445" s="86" t="s">
        <v>502</v>
      </c>
      <c r="E445" s="32">
        <f t="shared" ref="E445:E508" si="17">C445-SUM(AN445:HK445)</f>
        <v>1.0000000000005116E-2</v>
      </c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7"/>
      <c r="FW445" s="27"/>
      <c r="FX445" s="28"/>
      <c r="FY445" s="25"/>
      <c r="FZ445" s="25"/>
      <c r="GA445" s="25"/>
      <c r="GB445" s="25"/>
      <c r="GC445" s="25"/>
      <c r="GD445" s="25"/>
      <c r="GE445" s="25"/>
      <c r="GF445" s="25"/>
      <c r="GG445" s="64">
        <v>32.64</v>
      </c>
      <c r="GH445" s="26">
        <v>70</v>
      </c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</row>
    <row r="446" spans="1:220" ht="15.75" customHeight="1" x14ac:dyDescent="0.2">
      <c r="A446" s="58">
        <v>43715.262465277781</v>
      </c>
      <c r="B446" s="26">
        <v>593631</v>
      </c>
      <c r="C446" s="26">
        <v>104.38</v>
      </c>
      <c r="D446" s="86" t="s">
        <v>503</v>
      </c>
      <c r="E446" s="32">
        <f t="shared" si="17"/>
        <v>0</v>
      </c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7"/>
      <c r="FW446" s="27"/>
      <c r="FX446" s="28"/>
      <c r="FY446" s="25"/>
      <c r="FZ446" s="25"/>
      <c r="GA446" s="25"/>
      <c r="GB446" s="25"/>
      <c r="GC446" s="25"/>
      <c r="GD446" s="25"/>
      <c r="GE446" s="25"/>
      <c r="GF446" s="25"/>
      <c r="GG446" s="64"/>
      <c r="GH446" s="26">
        <v>104.38</v>
      </c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</row>
    <row r="447" spans="1:220" ht="15.75" customHeight="1" x14ac:dyDescent="0.2">
      <c r="A447" s="58">
        <v>43715.262465277781</v>
      </c>
      <c r="B447" s="26">
        <v>593631</v>
      </c>
      <c r="C447" s="26">
        <v>128.28</v>
      </c>
      <c r="D447" s="86" t="s">
        <v>504</v>
      </c>
      <c r="E447" s="32">
        <f t="shared" si="17"/>
        <v>0</v>
      </c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7"/>
      <c r="FW447" s="27"/>
      <c r="FX447" s="28"/>
      <c r="FY447" s="25"/>
      <c r="FZ447" s="25"/>
      <c r="GA447" s="25"/>
      <c r="GB447" s="25"/>
      <c r="GC447" s="25"/>
      <c r="GD447" s="25"/>
      <c r="GE447" s="25"/>
      <c r="GF447" s="25"/>
      <c r="GG447" s="64">
        <v>44.28</v>
      </c>
      <c r="GH447" s="26">
        <v>84</v>
      </c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</row>
    <row r="448" spans="1:220" ht="15.75" customHeight="1" x14ac:dyDescent="0.2">
      <c r="A448" s="58">
        <v>43715.262465277781</v>
      </c>
      <c r="B448" s="26">
        <v>593631</v>
      </c>
      <c r="C448" s="26">
        <v>110.14</v>
      </c>
      <c r="D448" s="86" t="s">
        <v>505</v>
      </c>
      <c r="E448" s="32">
        <f t="shared" si="17"/>
        <v>4.0000000000006253E-2</v>
      </c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7"/>
      <c r="FW448" s="27"/>
      <c r="FX448" s="28"/>
      <c r="FY448" s="25"/>
      <c r="FZ448" s="25"/>
      <c r="GA448" s="25"/>
      <c r="GB448" s="25"/>
      <c r="GC448" s="25"/>
      <c r="GD448" s="25"/>
      <c r="GE448" s="25"/>
      <c r="GF448" s="25"/>
      <c r="GG448" s="64">
        <v>42.1</v>
      </c>
      <c r="GH448" s="26">
        <v>68</v>
      </c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</row>
    <row r="449" spans="1:220" ht="15.75" customHeight="1" x14ac:dyDescent="0.2">
      <c r="A449" s="58">
        <v>43715.262465277781</v>
      </c>
      <c r="B449" s="26">
        <v>593631</v>
      </c>
      <c r="C449" s="26">
        <v>108.28</v>
      </c>
      <c r="D449" s="86" t="s">
        <v>506</v>
      </c>
      <c r="E449" s="32">
        <f t="shared" si="17"/>
        <v>0</v>
      </c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7"/>
      <c r="FW449" s="27"/>
      <c r="FX449" s="28"/>
      <c r="FY449" s="25"/>
      <c r="FZ449" s="25"/>
      <c r="GA449" s="25"/>
      <c r="GB449" s="25"/>
      <c r="GC449" s="25"/>
      <c r="GD449" s="25"/>
      <c r="GE449" s="25"/>
      <c r="GF449" s="25"/>
      <c r="GG449" s="64">
        <v>48.28</v>
      </c>
      <c r="GH449" s="26">
        <v>60</v>
      </c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</row>
    <row r="450" spans="1:220" ht="15.75" customHeight="1" x14ac:dyDescent="0.2">
      <c r="A450" s="58">
        <v>43715.262465277781</v>
      </c>
      <c r="B450" s="26">
        <v>593631</v>
      </c>
      <c r="C450" s="26">
        <v>105.72</v>
      </c>
      <c r="D450" s="86" t="s">
        <v>507</v>
      </c>
      <c r="E450" s="32">
        <f t="shared" si="17"/>
        <v>9.9999999999909051E-3</v>
      </c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7"/>
      <c r="FW450" s="27"/>
      <c r="FX450" s="28"/>
      <c r="FY450" s="25"/>
      <c r="FZ450" s="25"/>
      <c r="GA450" s="25"/>
      <c r="GB450" s="25"/>
      <c r="GC450" s="25"/>
      <c r="GD450" s="25"/>
      <c r="GE450" s="25"/>
      <c r="GF450" s="25"/>
      <c r="GG450" s="64">
        <v>51.71</v>
      </c>
      <c r="GH450" s="26">
        <v>54</v>
      </c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</row>
    <row r="451" spans="1:220" ht="15.75" customHeight="1" x14ac:dyDescent="0.2">
      <c r="A451" s="58">
        <v>43714.398761574077</v>
      </c>
      <c r="B451" s="26">
        <v>593506</v>
      </c>
      <c r="C451" s="26">
        <v>152.71</v>
      </c>
      <c r="D451" s="86" t="s">
        <v>508</v>
      </c>
      <c r="E451" s="32">
        <f t="shared" si="17"/>
        <v>0</v>
      </c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7"/>
      <c r="FW451" s="27"/>
      <c r="FX451" s="28"/>
      <c r="FY451" s="25"/>
      <c r="FZ451" s="25"/>
      <c r="GA451" s="25"/>
      <c r="GB451" s="25"/>
      <c r="GC451" s="25"/>
      <c r="GD451" s="25"/>
      <c r="GE451" s="25"/>
      <c r="GF451" s="25"/>
      <c r="GG451" s="25"/>
      <c r="GH451" s="26">
        <v>102.71</v>
      </c>
      <c r="GI451" s="65">
        <v>50</v>
      </c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</row>
    <row r="452" spans="1:220" ht="15.75" customHeight="1" x14ac:dyDescent="0.2">
      <c r="A452" s="58">
        <v>43714.402881944443</v>
      </c>
      <c r="B452" s="26">
        <v>593507</v>
      </c>
      <c r="C452" s="26">
        <v>129.33000000000001</v>
      </c>
      <c r="D452" s="86" t="s">
        <v>509</v>
      </c>
      <c r="E452" s="32">
        <f t="shared" si="17"/>
        <v>0</v>
      </c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7"/>
      <c r="FW452" s="27"/>
      <c r="FX452" s="28"/>
      <c r="FY452" s="25"/>
      <c r="FZ452" s="25"/>
      <c r="GA452" s="25"/>
      <c r="GB452" s="25"/>
      <c r="GC452" s="25"/>
      <c r="GD452" s="25"/>
      <c r="GE452" s="25"/>
      <c r="GF452" s="25"/>
      <c r="GG452" s="25"/>
      <c r="GH452" s="26">
        <v>129.33000000000001</v>
      </c>
      <c r="GI452" s="6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</row>
    <row r="453" spans="1:220" ht="15.75" customHeight="1" x14ac:dyDescent="0.2">
      <c r="A453" s="58">
        <v>43714.402881944443</v>
      </c>
      <c r="B453" s="26">
        <v>593507</v>
      </c>
      <c r="C453" s="26">
        <v>132.94999999999999</v>
      </c>
      <c r="D453" s="86" t="s">
        <v>510</v>
      </c>
      <c r="E453" s="32">
        <f t="shared" si="17"/>
        <v>0</v>
      </c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7"/>
      <c r="FW453" s="27"/>
      <c r="FX453" s="28"/>
      <c r="FY453" s="25"/>
      <c r="FZ453" s="25"/>
      <c r="GA453" s="25"/>
      <c r="GB453" s="25"/>
      <c r="GC453" s="25"/>
      <c r="GD453" s="25"/>
      <c r="GE453" s="25"/>
      <c r="GF453" s="25"/>
      <c r="GG453" s="25"/>
      <c r="GH453" s="26">
        <v>132.94999999999999</v>
      </c>
      <c r="GI453" s="6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</row>
    <row r="454" spans="1:220" ht="15.75" customHeight="1" x14ac:dyDescent="0.2">
      <c r="A454" s="58">
        <v>43714.402881944443</v>
      </c>
      <c r="B454" s="26">
        <v>593507</v>
      </c>
      <c r="C454" s="26">
        <v>142.82</v>
      </c>
      <c r="D454" s="86" t="s">
        <v>511</v>
      </c>
      <c r="E454" s="32">
        <f t="shared" si="17"/>
        <v>0</v>
      </c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7"/>
      <c r="FW454" s="27"/>
      <c r="FX454" s="28"/>
      <c r="FY454" s="25"/>
      <c r="FZ454" s="25"/>
      <c r="GA454" s="25"/>
      <c r="GB454" s="25"/>
      <c r="GC454" s="25"/>
      <c r="GD454" s="25"/>
      <c r="GE454" s="25"/>
      <c r="GF454" s="25"/>
      <c r="GG454" s="25"/>
      <c r="GH454" s="26">
        <v>142.82</v>
      </c>
      <c r="GI454" s="6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</row>
    <row r="455" spans="1:220" ht="15.75" customHeight="1" x14ac:dyDescent="0.2">
      <c r="A455" s="58">
        <v>43714.402881944443</v>
      </c>
      <c r="B455" s="26">
        <v>593507</v>
      </c>
      <c r="C455" s="26">
        <v>143.47</v>
      </c>
      <c r="D455" s="86" t="s">
        <v>512</v>
      </c>
      <c r="E455" s="32">
        <f t="shared" si="17"/>
        <v>0</v>
      </c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7"/>
      <c r="FW455" s="27"/>
      <c r="FX455" s="28"/>
      <c r="FY455" s="25"/>
      <c r="FZ455" s="25"/>
      <c r="GA455" s="25"/>
      <c r="GB455" s="25"/>
      <c r="GC455" s="25"/>
      <c r="GD455" s="25"/>
      <c r="GE455" s="25"/>
      <c r="GF455" s="25"/>
      <c r="GG455" s="25"/>
      <c r="GH455" s="26">
        <v>92.47</v>
      </c>
      <c r="GI455" s="65">
        <v>51</v>
      </c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</row>
    <row r="456" spans="1:220" ht="15.75" customHeight="1" x14ac:dyDescent="0.2">
      <c r="A456" s="58">
        <v>43714.402881944443</v>
      </c>
      <c r="B456" s="26">
        <v>593507</v>
      </c>
      <c r="C456" s="26">
        <v>143.66</v>
      </c>
      <c r="D456" s="86" t="s">
        <v>513</v>
      </c>
      <c r="E456" s="32">
        <f t="shared" si="17"/>
        <v>9.9999999999909051E-3</v>
      </c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7"/>
      <c r="FW456" s="27"/>
      <c r="FX456" s="28"/>
      <c r="FY456" s="25"/>
      <c r="FZ456" s="25"/>
      <c r="GA456" s="25"/>
      <c r="GB456" s="25"/>
      <c r="GC456" s="25"/>
      <c r="GD456" s="25"/>
      <c r="GE456" s="25"/>
      <c r="GF456" s="25"/>
      <c r="GG456" s="25"/>
      <c r="GH456" s="26">
        <v>113.65</v>
      </c>
      <c r="GI456" s="65">
        <v>30</v>
      </c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</row>
    <row r="457" spans="1:220" ht="15.75" customHeight="1" x14ac:dyDescent="0.2">
      <c r="A457" s="58">
        <v>43714.402881944443</v>
      </c>
      <c r="B457" s="26">
        <v>593507</v>
      </c>
      <c r="C457" s="26">
        <v>139.59</v>
      </c>
      <c r="D457" s="86" t="s">
        <v>514</v>
      </c>
      <c r="E457" s="32">
        <f t="shared" si="17"/>
        <v>0</v>
      </c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7"/>
      <c r="FW457" s="27"/>
      <c r="FX457" s="28"/>
      <c r="FY457" s="25"/>
      <c r="FZ457" s="25"/>
      <c r="GA457" s="25"/>
      <c r="GB457" s="25"/>
      <c r="GC457" s="25"/>
      <c r="GD457" s="25"/>
      <c r="GE457" s="25"/>
      <c r="GF457" s="25"/>
      <c r="GG457" s="25"/>
      <c r="GH457" s="26">
        <v>139.59</v>
      </c>
      <c r="GI457" s="65"/>
      <c r="GJ457" s="25"/>
      <c r="GK457" s="25"/>
      <c r="GL457" s="25"/>
      <c r="GM457" s="25"/>
      <c r="GN457" s="25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  <c r="GY457" s="25"/>
      <c r="GZ457" s="25"/>
      <c r="HA457" s="25"/>
      <c r="HB457" s="25"/>
      <c r="HC457" s="25"/>
      <c r="HD457" s="25"/>
      <c r="HE457" s="25"/>
      <c r="HF457" s="25"/>
      <c r="HG457" s="25"/>
      <c r="HH457" s="25"/>
      <c r="HI457" s="25"/>
      <c r="HJ457" s="25"/>
      <c r="HK457" s="25"/>
      <c r="HL457" s="25"/>
    </row>
    <row r="458" spans="1:220" ht="15.75" customHeight="1" x14ac:dyDescent="0.2">
      <c r="A458" s="58">
        <v>43714.402881944443</v>
      </c>
      <c r="B458" s="26">
        <v>593507</v>
      </c>
      <c r="C458" s="26">
        <v>124.6</v>
      </c>
      <c r="D458" s="86" t="s">
        <v>515</v>
      </c>
      <c r="E458" s="32">
        <f t="shared" si="17"/>
        <v>0</v>
      </c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7"/>
      <c r="FW458" s="27"/>
      <c r="FX458" s="28"/>
      <c r="FY458" s="25"/>
      <c r="FZ458" s="25"/>
      <c r="GA458" s="25"/>
      <c r="GB458" s="25"/>
      <c r="GC458" s="25"/>
      <c r="GD458" s="25"/>
      <c r="GE458" s="25"/>
      <c r="GF458" s="25"/>
      <c r="GG458" s="25"/>
      <c r="GH458" s="26">
        <v>124.6</v>
      </c>
      <c r="GI458" s="65"/>
      <c r="GJ458" s="25"/>
      <c r="GK458" s="25"/>
      <c r="GL458" s="25"/>
      <c r="GM458" s="25"/>
      <c r="GN458" s="25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  <c r="GY458" s="25"/>
      <c r="GZ458" s="25"/>
      <c r="HA458" s="25"/>
      <c r="HB458" s="25"/>
      <c r="HC458" s="25"/>
      <c r="HD458" s="25"/>
      <c r="HE458" s="25"/>
      <c r="HF458" s="25"/>
      <c r="HG458" s="25"/>
      <c r="HH458" s="25"/>
      <c r="HI458" s="25"/>
      <c r="HJ458" s="25"/>
      <c r="HK458" s="25"/>
      <c r="HL458" s="25"/>
    </row>
    <row r="459" spans="1:220" ht="15.75" customHeight="1" x14ac:dyDescent="0.2">
      <c r="A459" s="58">
        <v>43714.402881944443</v>
      </c>
      <c r="B459" s="26">
        <v>593507</v>
      </c>
      <c r="C459" s="26">
        <v>136.38999999999999</v>
      </c>
      <c r="D459" s="86" t="s">
        <v>516</v>
      </c>
      <c r="E459" s="32">
        <f t="shared" si="17"/>
        <v>9.9999999999909051E-3</v>
      </c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7"/>
      <c r="FW459" s="27"/>
      <c r="FX459" s="28"/>
      <c r="FY459" s="25"/>
      <c r="FZ459" s="25"/>
      <c r="GA459" s="25"/>
      <c r="GB459" s="25"/>
      <c r="GC459" s="25"/>
      <c r="GD459" s="25"/>
      <c r="GE459" s="25"/>
      <c r="GF459" s="25"/>
      <c r="GG459" s="25"/>
      <c r="GH459" s="26">
        <v>136.38</v>
      </c>
      <c r="GI459" s="6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</row>
    <row r="460" spans="1:220" ht="15.75" customHeight="1" x14ac:dyDescent="0.2">
      <c r="A460" s="58">
        <v>43714.402881944443</v>
      </c>
      <c r="B460" s="26">
        <v>593507</v>
      </c>
      <c r="C460" s="26">
        <v>127.84</v>
      </c>
      <c r="D460" s="86" t="s">
        <v>517</v>
      </c>
      <c r="E460" s="32">
        <f t="shared" si="17"/>
        <v>1.0000000000005116E-2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7"/>
      <c r="FW460" s="27"/>
      <c r="FX460" s="28"/>
      <c r="FY460" s="25"/>
      <c r="FZ460" s="25"/>
      <c r="GA460" s="25"/>
      <c r="GB460" s="25"/>
      <c r="GC460" s="25"/>
      <c r="GD460" s="25"/>
      <c r="GE460" s="25"/>
      <c r="GF460" s="25"/>
      <c r="GG460" s="25"/>
      <c r="GH460" s="26">
        <v>127.83</v>
      </c>
      <c r="GI460" s="6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</row>
    <row r="461" spans="1:220" ht="15.75" customHeight="1" x14ac:dyDescent="0.2">
      <c r="A461" s="58">
        <v>43713.804224537038</v>
      </c>
      <c r="B461" s="26">
        <v>593411</v>
      </c>
      <c r="C461" s="26">
        <v>155.79</v>
      </c>
      <c r="D461" s="86" t="s">
        <v>518</v>
      </c>
      <c r="E461" s="32">
        <f t="shared" si="17"/>
        <v>0</v>
      </c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7"/>
      <c r="FW461" s="27"/>
      <c r="FX461" s="28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6">
        <v>155.79</v>
      </c>
      <c r="GJ461" s="25"/>
      <c r="GK461" s="25"/>
      <c r="GL461" s="25"/>
      <c r="GM461" s="25"/>
      <c r="GN461" s="25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  <c r="GY461" s="25"/>
      <c r="GZ461" s="25"/>
      <c r="HA461" s="25"/>
      <c r="HB461" s="25"/>
      <c r="HC461" s="25"/>
      <c r="HD461" s="25"/>
      <c r="HE461" s="25"/>
      <c r="HF461" s="25"/>
      <c r="HG461" s="25"/>
      <c r="HH461" s="25"/>
      <c r="HI461" s="25"/>
      <c r="HJ461" s="25"/>
      <c r="HK461" s="25"/>
      <c r="HL461" s="25"/>
    </row>
    <row r="462" spans="1:220" ht="15.75" customHeight="1" x14ac:dyDescent="0.2">
      <c r="A462" s="58">
        <v>43713.803252314814</v>
      </c>
      <c r="B462" s="26">
        <v>593410</v>
      </c>
      <c r="C462" s="26">
        <v>147.55000000000001</v>
      </c>
      <c r="D462" s="86" t="s">
        <v>519</v>
      </c>
      <c r="E462" s="32">
        <f t="shared" si="17"/>
        <v>1.0000000000019327E-2</v>
      </c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  <c r="FJ462" s="25"/>
      <c r="FK462" s="25"/>
      <c r="FL462" s="25"/>
      <c r="FM462" s="25"/>
      <c r="FN462" s="25"/>
      <c r="FO462" s="25"/>
      <c r="FP462" s="25"/>
      <c r="FQ462" s="25"/>
      <c r="FR462" s="25"/>
      <c r="FS462" s="25"/>
      <c r="FT462" s="25"/>
      <c r="FU462" s="25"/>
      <c r="FV462" s="27"/>
      <c r="FW462" s="27"/>
      <c r="FX462" s="28"/>
      <c r="FY462" s="25"/>
      <c r="FZ462" s="25"/>
      <c r="GA462" s="25"/>
      <c r="GB462" s="25"/>
      <c r="GC462" s="25"/>
      <c r="GD462" s="25"/>
      <c r="GE462" s="25"/>
      <c r="GF462" s="25"/>
      <c r="GG462" s="25"/>
      <c r="GH462" s="25"/>
      <c r="GI462" s="26">
        <v>147.54</v>
      </c>
      <c r="GJ462" s="25"/>
      <c r="GK462" s="25"/>
      <c r="GL462" s="25"/>
      <c r="GM462" s="25"/>
      <c r="GN462" s="25"/>
      <c r="GO462" s="25"/>
      <c r="GP462" s="25"/>
      <c r="GQ462" s="25"/>
      <c r="GR462" s="25"/>
      <c r="GS462" s="25"/>
      <c r="GT462" s="25"/>
      <c r="GU462" s="25"/>
      <c r="GV462" s="25"/>
      <c r="GW462" s="25"/>
      <c r="GX462" s="25"/>
      <c r="GY462" s="25"/>
      <c r="GZ462" s="25"/>
      <c r="HA462" s="25"/>
      <c r="HB462" s="25"/>
      <c r="HC462" s="25"/>
      <c r="HD462" s="25"/>
      <c r="HE462" s="25"/>
      <c r="HF462" s="25"/>
      <c r="HG462" s="25"/>
      <c r="HH462" s="25"/>
      <c r="HI462" s="25"/>
      <c r="HJ462" s="25"/>
      <c r="HK462" s="25"/>
      <c r="HL462" s="25"/>
    </row>
    <row r="463" spans="1:220" ht="15.75" customHeight="1" x14ac:dyDescent="0.2">
      <c r="A463" s="58">
        <v>43713.803252314814</v>
      </c>
      <c r="B463" s="26">
        <v>593410</v>
      </c>
      <c r="C463" s="26">
        <v>149.54</v>
      </c>
      <c r="D463" s="86" t="s">
        <v>174</v>
      </c>
      <c r="E463" s="32">
        <f t="shared" si="17"/>
        <v>0</v>
      </c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7"/>
      <c r="FW463" s="27"/>
      <c r="FX463" s="28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6">
        <v>149.54</v>
      </c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</row>
    <row r="464" spans="1:220" ht="15.75" customHeight="1" x14ac:dyDescent="0.2">
      <c r="A464" s="58">
        <v>43713.803252314814</v>
      </c>
      <c r="B464" s="26">
        <v>593410</v>
      </c>
      <c r="C464" s="26">
        <v>144.69</v>
      </c>
      <c r="D464" s="86" t="s">
        <v>520</v>
      </c>
      <c r="E464" s="32">
        <f t="shared" si="17"/>
        <v>9.9999999999909051E-3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7"/>
      <c r="FW464" s="27"/>
      <c r="FX464" s="28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6">
        <v>144.68</v>
      </c>
      <c r="GJ464" s="25"/>
      <c r="GK464" s="25"/>
      <c r="GL464" s="25"/>
      <c r="GM464" s="25"/>
      <c r="GN464" s="25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  <c r="GY464" s="25"/>
      <c r="GZ464" s="25"/>
      <c r="HA464" s="25"/>
      <c r="HB464" s="25"/>
      <c r="HC464" s="25"/>
      <c r="HD464" s="25"/>
      <c r="HE464" s="25"/>
      <c r="HF464" s="25"/>
      <c r="HG464" s="25"/>
      <c r="HH464" s="25"/>
      <c r="HI464" s="25"/>
      <c r="HJ464" s="25"/>
      <c r="HK464" s="25"/>
      <c r="HL464" s="25"/>
    </row>
    <row r="465" spans="1:220" ht="15.75" customHeight="1" x14ac:dyDescent="0.2">
      <c r="A465" s="58">
        <v>43713.803252314814</v>
      </c>
      <c r="B465" s="26">
        <v>593410</v>
      </c>
      <c r="C465" s="26">
        <v>171.26</v>
      </c>
      <c r="D465" s="86" t="s">
        <v>521</v>
      </c>
      <c r="E465" s="32">
        <f t="shared" si="17"/>
        <v>0</v>
      </c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7"/>
      <c r="FW465" s="27"/>
      <c r="FX465" s="28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6">
        <v>171.26</v>
      </c>
      <c r="GJ465" s="25"/>
      <c r="GK465" s="25"/>
      <c r="GL465" s="25"/>
      <c r="GM465" s="25"/>
      <c r="GN465" s="25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  <c r="GY465" s="25"/>
      <c r="GZ465" s="25"/>
      <c r="HA465" s="25"/>
      <c r="HB465" s="25"/>
      <c r="HC465" s="25"/>
      <c r="HD465" s="25"/>
      <c r="HE465" s="25"/>
      <c r="HF465" s="25"/>
      <c r="HG465" s="25"/>
      <c r="HH465" s="25"/>
      <c r="HI465" s="25"/>
      <c r="HJ465" s="25"/>
      <c r="HK465" s="25"/>
      <c r="HL465" s="25"/>
    </row>
    <row r="466" spans="1:220" ht="15.75" customHeight="1" x14ac:dyDescent="0.2">
      <c r="A466" s="58">
        <v>43713.803252314814</v>
      </c>
      <c r="B466" s="26">
        <v>593410</v>
      </c>
      <c r="C466" s="26">
        <v>185.56</v>
      </c>
      <c r="D466" s="86" t="s">
        <v>522</v>
      </c>
      <c r="E466" s="32">
        <f t="shared" si="17"/>
        <v>0</v>
      </c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  <c r="FJ466" s="25"/>
      <c r="FK466" s="25"/>
      <c r="FL466" s="25"/>
      <c r="FM466" s="25"/>
      <c r="FN466" s="25"/>
      <c r="FO466" s="25"/>
      <c r="FP466" s="25"/>
      <c r="FQ466" s="25"/>
      <c r="FR466" s="25"/>
      <c r="FS466" s="25"/>
      <c r="FT466" s="25"/>
      <c r="FU466" s="25"/>
      <c r="FV466" s="27"/>
      <c r="FW466" s="27"/>
      <c r="FX466" s="28"/>
      <c r="FY466" s="25"/>
      <c r="FZ466" s="25"/>
      <c r="GA466" s="25"/>
      <c r="GB466" s="25"/>
      <c r="GC466" s="25"/>
      <c r="GD466" s="25"/>
      <c r="GE466" s="25"/>
      <c r="GF466" s="25"/>
      <c r="GG466" s="25"/>
      <c r="GH466" s="25"/>
      <c r="GI466" s="26">
        <v>185.56</v>
      </c>
      <c r="GJ466" s="25"/>
      <c r="GK466" s="25"/>
      <c r="GL466" s="25"/>
      <c r="GM466" s="25"/>
      <c r="GN466" s="25"/>
      <c r="GO466" s="25"/>
      <c r="GP466" s="25"/>
      <c r="GQ466" s="25"/>
      <c r="GR466" s="25"/>
      <c r="GS466" s="25"/>
      <c r="GT466" s="25"/>
      <c r="GU466" s="25"/>
      <c r="GV466" s="25"/>
      <c r="GW466" s="25"/>
      <c r="GX466" s="25"/>
      <c r="GY466" s="25"/>
      <c r="GZ466" s="25"/>
      <c r="HA466" s="25"/>
      <c r="HB466" s="25"/>
      <c r="HC466" s="25"/>
      <c r="HD466" s="25"/>
      <c r="HE466" s="25"/>
      <c r="HF466" s="25"/>
      <c r="HG466" s="25"/>
      <c r="HH466" s="25"/>
      <c r="HI466" s="25"/>
      <c r="HJ466" s="25"/>
      <c r="HK466" s="25"/>
      <c r="HL466" s="25"/>
    </row>
    <row r="467" spans="1:220" ht="15.75" customHeight="1" x14ac:dyDescent="0.2">
      <c r="A467" s="58">
        <v>43713.803252314814</v>
      </c>
      <c r="B467" s="26">
        <v>593410</v>
      </c>
      <c r="C467" s="26">
        <v>137.13999999999999</v>
      </c>
      <c r="D467" s="86" t="s">
        <v>523</v>
      </c>
      <c r="E467" s="32">
        <f t="shared" si="17"/>
        <v>0</v>
      </c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7"/>
      <c r="FW467" s="27"/>
      <c r="FX467" s="28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6">
        <v>137.13999999999999</v>
      </c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</row>
    <row r="468" spans="1:220" ht="15.75" customHeight="1" x14ac:dyDescent="0.2">
      <c r="A468" s="58">
        <v>43713.619444444441</v>
      </c>
      <c r="B468" s="26">
        <v>593385</v>
      </c>
      <c r="C468" s="26">
        <v>148.04</v>
      </c>
      <c r="D468" s="86" t="s">
        <v>524</v>
      </c>
      <c r="E468" s="32">
        <f t="shared" si="17"/>
        <v>0</v>
      </c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7"/>
      <c r="FW468" s="27"/>
      <c r="FX468" s="28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6">
        <v>148.04</v>
      </c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</row>
    <row r="469" spans="1:220" ht="15.75" customHeight="1" x14ac:dyDescent="0.2">
      <c r="A469" s="58">
        <v>43713.606469907405</v>
      </c>
      <c r="B469" s="26">
        <v>593384</v>
      </c>
      <c r="C469" s="26">
        <v>7.07</v>
      </c>
      <c r="D469" s="86" t="s">
        <v>525</v>
      </c>
      <c r="E469" s="32">
        <f t="shared" si="17"/>
        <v>0</v>
      </c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  <c r="FJ469" s="25"/>
      <c r="FK469" s="25"/>
      <c r="FL469" s="25"/>
      <c r="FM469" s="25"/>
      <c r="FN469" s="25"/>
      <c r="FO469" s="25"/>
      <c r="FP469" s="25"/>
      <c r="FQ469" s="25"/>
      <c r="FR469" s="25"/>
      <c r="FS469" s="25"/>
      <c r="FT469" s="25"/>
      <c r="FU469" s="25"/>
      <c r="FV469" s="27"/>
      <c r="FW469" s="27"/>
      <c r="FX469" s="28"/>
      <c r="FY469" s="25"/>
      <c r="FZ469" s="25"/>
      <c r="GA469" s="25"/>
      <c r="GB469" s="25"/>
      <c r="GC469" s="25"/>
      <c r="GD469" s="25"/>
      <c r="GE469" s="25"/>
      <c r="GF469" s="25"/>
      <c r="GG469" s="25"/>
      <c r="GH469" s="25"/>
      <c r="GI469" s="26">
        <v>7.07</v>
      </c>
      <c r="GJ469" s="25"/>
      <c r="GK469" s="25"/>
      <c r="GL469" s="25"/>
      <c r="GM469" s="25"/>
      <c r="GN469" s="25"/>
      <c r="GO469" s="25"/>
      <c r="GP469" s="25"/>
      <c r="GQ469" s="25"/>
      <c r="GR469" s="25"/>
      <c r="GS469" s="25"/>
      <c r="GT469" s="25"/>
      <c r="GU469" s="25"/>
      <c r="GV469" s="25"/>
      <c r="GW469" s="25"/>
      <c r="GX469" s="25"/>
      <c r="GY469" s="25"/>
      <c r="GZ469" s="25"/>
      <c r="HA469" s="25"/>
      <c r="HB469" s="25"/>
      <c r="HC469" s="25"/>
      <c r="HD469" s="25"/>
      <c r="HE469" s="25"/>
      <c r="HF469" s="25"/>
      <c r="HG469" s="25"/>
      <c r="HH469" s="25"/>
      <c r="HI469" s="25"/>
      <c r="HJ469" s="25"/>
      <c r="HK469" s="25"/>
      <c r="HL469" s="25"/>
    </row>
    <row r="470" spans="1:220" ht="15.75" customHeight="1" x14ac:dyDescent="0.2">
      <c r="A470" s="58">
        <v>43713.586689814816</v>
      </c>
      <c r="B470" s="26">
        <v>593382</v>
      </c>
      <c r="C470" s="26">
        <v>6.92</v>
      </c>
      <c r="D470" s="86" t="s">
        <v>526</v>
      </c>
      <c r="E470" s="32">
        <f t="shared" si="17"/>
        <v>0</v>
      </c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  <c r="FJ470" s="25"/>
      <c r="FK470" s="25"/>
      <c r="FL470" s="25"/>
      <c r="FM470" s="25"/>
      <c r="FN470" s="25"/>
      <c r="FO470" s="25"/>
      <c r="FP470" s="25"/>
      <c r="FQ470" s="25"/>
      <c r="FR470" s="25"/>
      <c r="FS470" s="25"/>
      <c r="FT470" s="25"/>
      <c r="FU470" s="25"/>
      <c r="FV470" s="27"/>
      <c r="FW470" s="27"/>
      <c r="FX470" s="28"/>
      <c r="FY470" s="25"/>
      <c r="FZ470" s="25"/>
      <c r="GA470" s="25"/>
      <c r="GB470" s="25"/>
      <c r="GC470" s="25"/>
      <c r="GD470" s="25"/>
      <c r="GE470" s="25"/>
      <c r="GF470" s="25"/>
      <c r="GG470" s="25"/>
      <c r="GH470" s="25"/>
      <c r="GI470" s="26">
        <v>6.92</v>
      </c>
      <c r="GJ470" s="25"/>
      <c r="GK470" s="25"/>
      <c r="GL470" s="25"/>
      <c r="GM470" s="25"/>
      <c r="GN470" s="25"/>
      <c r="GO470" s="25"/>
      <c r="GP470" s="25"/>
      <c r="GQ470" s="25"/>
      <c r="GR470" s="25"/>
      <c r="GS470" s="25"/>
      <c r="GT470" s="25"/>
      <c r="GU470" s="25"/>
      <c r="GV470" s="25"/>
      <c r="GW470" s="25"/>
      <c r="GX470" s="25"/>
      <c r="GY470" s="25"/>
      <c r="GZ470" s="25"/>
      <c r="HA470" s="25"/>
      <c r="HB470" s="25"/>
      <c r="HC470" s="25"/>
      <c r="HD470" s="25"/>
      <c r="HE470" s="25"/>
      <c r="HF470" s="25"/>
      <c r="HG470" s="25"/>
      <c r="HH470" s="25"/>
      <c r="HI470" s="25"/>
      <c r="HJ470" s="25"/>
      <c r="HK470" s="25"/>
      <c r="HL470" s="25"/>
    </row>
    <row r="471" spans="1:220" ht="15.75" customHeight="1" x14ac:dyDescent="0.2">
      <c r="A471" s="58">
        <v>43713.586689814816</v>
      </c>
      <c r="B471" s="26">
        <v>593382</v>
      </c>
      <c r="C471" s="26">
        <v>7.23</v>
      </c>
      <c r="D471" s="86" t="s">
        <v>527</v>
      </c>
      <c r="E471" s="32">
        <f t="shared" si="17"/>
        <v>7.0000000000005613E-3</v>
      </c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  <c r="FJ471" s="25"/>
      <c r="FK471" s="25"/>
      <c r="FL471" s="25"/>
      <c r="FM471" s="25"/>
      <c r="FN471" s="25"/>
      <c r="FO471" s="25"/>
      <c r="FP471" s="25"/>
      <c r="FQ471" s="25"/>
      <c r="FR471" s="25"/>
      <c r="FS471" s="25"/>
      <c r="FT471" s="25"/>
      <c r="FU471" s="25"/>
      <c r="FV471" s="27"/>
      <c r="FW471" s="27"/>
      <c r="FX471" s="28"/>
      <c r="FY471" s="25"/>
      <c r="FZ471" s="25"/>
      <c r="GA471" s="25"/>
      <c r="GB471" s="25"/>
      <c r="GC471" s="25"/>
      <c r="GD471" s="25"/>
      <c r="GE471" s="25"/>
      <c r="GF471" s="25"/>
      <c r="GG471" s="25"/>
      <c r="GH471" s="25"/>
      <c r="GI471" s="26">
        <v>7.2229999999999999</v>
      </c>
      <c r="GJ471" s="25"/>
      <c r="GK471" s="25"/>
      <c r="GL471" s="25"/>
      <c r="GM471" s="25"/>
      <c r="GN471" s="25"/>
      <c r="GO471" s="25"/>
      <c r="GP471" s="25"/>
      <c r="GQ471" s="25"/>
      <c r="GR471" s="25"/>
      <c r="GS471" s="25"/>
      <c r="GT471" s="25"/>
      <c r="GU471" s="25"/>
      <c r="GV471" s="25"/>
      <c r="GW471" s="25"/>
      <c r="GX471" s="25"/>
      <c r="GY471" s="25"/>
      <c r="GZ471" s="25"/>
      <c r="HA471" s="25"/>
      <c r="HB471" s="25"/>
      <c r="HC471" s="25"/>
      <c r="HD471" s="25"/>
      <c r="HE471" s="25"/>
      <c r="HF471" s="25"/>
      <c r="HG471" s="25"/>
      <c r="HH471" s="25"/>
      <c r="HI471" s="25"/>
      <c r="HJ471" s="25"/>
      <c r="HK471" s="25"/>
      <c r="HL471" s="25"/>
    </row>
    <row r="472" spans="1:220" ht="15.75" customHeight="1" x14ac:dyDescent="0.2">
      <c r="A472" s="58">
        <v>43713.433344907404</v>
      </c>
      <c r="B472" s="26">
        <v>593355</v>
      </c>
      <c r="C472" s="26">
        <v>90</v>
      </c>
      <c r="D472" s="86" t="s">
        <v>528</v>
      </c>
      <c r="E472" s="32">
        <f t="shared" si="17"/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  <c r="FJ472" s="25"/>
      <c r="FK472" s="25"/>
      <c r="FL472" s="25"/>
      <c r="FM472" s="25"/>
      <c r="FN472" s="25"/>
      <c r="FO472" s="25"/>
      <c r="FP472" s="25"/>
      <c r="FQ472" s="25"/>
      <c r="FR472" s="25"/>
      <c r="FS472" s="25"/>
      <c r="FT472" s="25"/>
      <c r="FU472" s="25"/>
      <c r="FV472" s="27"/>
      <c r="FW472" s="27"/>
      <c r="FX472" s="28"/>
      <c r="FY472" s="25"/>
      <c r="FZ472" s="25"/>
      <c r="GA472" s="25"/>
      <c r="GB472" s="25"/>
      <c r="GC472" s="25"/>
      <c r="GD472" s="25"/>
      <c r="GE472" s="25"/>
      <c r="GF472" s="25"/>
      <c r="GG472" s="25"/>
      <c r="GH472" s="25"/>
      <c r="GI472" s="25"/>
      <c r="GJ472" s="26">
        <v>90</v>
      </c>
      <c r="GK472" s="25"/>
      <c r="GL472" s="25"/>
      <c r="GM472" s="25"/>
      <c r="GN472" s="25"/>
      <c r="GO472" s="25"/>
      <c r="GP472" s="25"/>
      <c r="GQ472" s="25"/>
      <c r="GR472" s="25"/>
      <c r="GS472" s="25"/>
      <c r="GT472" s="25"/>
      <c r="GU472" s="25"/>
      <c r="GV472" s="25"/>
      <c r="GW472" s="25"/>
      <c r="GX472" s="25"/>
      <c r="GY472" s="25"/>
      <c r="GZ472" s="25"/>
      <c r="HA472" s="25"/>
      <c r="HB472" s="25"/>
      <c r="HC472" s="25"/>
      <c r="HD472" s="25"/>
      <c r="HE472" s="25"/>
      <c r="HF472" s="25"/>
      <c r="HG472" s="25"/>
      <c r="HH472" s="25"/>
      <c r="HI472" s="25"/>
      <c r="HJ472" s="25"/>
      <c r="HK472" s="25"/>
      <c r="HL472" s="25"/>
    </row>
    <row r="473" spans="1:220" ht="15.75" customHeight="1" x14ac:dyDescent="0.2">
      <c r="A473" s="58">
        <v>43712.488310185188</v>
      </c>
      <c r="B473" s="26">
        <v>593199</v>
      </c>
      <c r="C473" s="26">
        <v>51.4</v>
      </c>
      <c r="D473" s="86" t="s">
        <v>529</v>
      </c>
      <c r="E473" s="32">
        <f t="shared" si="17"/>
        <v>0</v>
      </c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7"/>
      <c r="FW473" s="27"/>
      <c r="FX473" s="28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6">
        <v>21.4</v>
      </c>
      <c r="GK473" s="26">
        <v>30</v>
      </c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  <c r="GY473" s="25"/>
      <c r="GZ473" s="25"/>
      <c r="HA473" s="25"/>
      <c r="HB473" s="25"/>
      <c r="HC473" s="25"/>
      <c r="HD473" s="25"/>
      <c r="HE473" s="25"/>
      <c r="HF473" s="25"/>
      <c r="HG473" s="25"/>
      <c r="HH473" s="25"/>
      <c r="HI473" s="25"/>
      <c r="HJ473" s="25"/>
      <c r="HK473" s="25"/>
      <c r="HL473" s="25"/>
    </row>
    <row r="474" spans="1:220" ht="15.75" customHeight="1" x14ac:dyDescent="0.2">
      <c r="A474" s="58">
        <v>43712.488310185188</v>
      </c>
      <c r="B474" s="26">
        <v>593199</v>
      </c>
      <c r="C474" s="26">
        <v>152.69999999999999</v>
      </c>
      <c r="D474" s="86" t="s">
        <v>530</v>
      </c>
      <c r="E474" s="32">
        <f t="shared" si="17"/>
        <v>0</v>
      </c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7"/>
      <c r="FW474" s="27"/>
      <c r="FX474" s="28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6">
        <v>52.7</v>
      </c>
      <c r="GK474" s="26">
        <v>100</v>
      </c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  <c r="GY474" s="25"/>
      <c r="GZ474" s="25"/>
      <c r="HA474" s="25"/>
      <c r="HB474" s="25"/>
      <c r="HC474" s="25"/>
      <c r="HD474" s="25"/>
      <c r="HE474" s="25"/>
      <c r="HF474" s="25"/>
      <c r="HG474" s="25"/>
      <c r="HH474" s="25"/>
      <c r="HI474" s="25"/>
      <c r="HJ474" s="25"/>
      <c r="HK474" s="25"/>
      <c r="HL474" s="25"/>
    </row>
    <row r="475" spans="1:220" ht="15.75" customHeight="1" x14ac:dyDescent="0.2">
      <c r="A475" s="58">
        <v>43712.4843287037</v>
      </c>
      <c r="B475" s="26">
        <v>593198</v>
      </c>
      <c r="C475" s="26">
        <v>101.6</v>
      </c>
      <c r="D475" s="86" t="s">
        <v>531</v>
      </c>
      <c r="E475" s="32">
        <f t="shared" si="17"/>
        <v>0</v>
      </c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7"/>
      <c r="FW475" s="27"/>
      <c r="FX475" s="28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5"/>
      <c r="GJ475" s="26">
        <v>51.6</v>
      </c>
      <c r="GK475" s="26">
        <v>50</v>
      </c>
      <c r="GL475" s="25"/>
      <c r="GM475" s="25"/>
      <c r="GN475" s="25"/>
      <c r="GO475" s="25"/>
      <c r="GP475" s="25"/>
      <c r="GQ475" s="25"/>
      <c r="GR475" s="25"/>
      <c r="GS475" s="25"/>
      <c r="GT475" s="25"/>
      <c r="GU475" s="25"/>
      <c r="GV475" s="25"/>
      <c r="GW475" s="25"/>
      <c r="GX475" s="25"/>
      <c r="GY475" s="25"/>
      <c r="GZ475" s="25"/>
      <c r="HA475" s="25"/>
      <c r="HB475" s="25"/>
      <c r="HC475" s="25"/>
      <c r="HD475" s="25"/>
      <c r="HE475" s="25"/>
      <c r="HF475" s="25"/>
      <c r="HG475" s="25"/>
      <c r="HH475" s="25"/>
      <c r="HI475" s="25"/>
      <c r="HJ475" s="25"/>
      <c r="HK475" s="25"/>
      <c r="HL475" s="25"/>
    </row>
    <row r="476" spans="1:220" ht="15.75" customHeight="1" x14ac:dyDescent="0.2">
      <c r="A476" s="58">
        <v>43712.4843287037</v>
      </c>
      <c r="B476" s="26">
        <v>593198</v>
      </c>
      <c r="C476" s="26">
        <v>100.25</v>
      </c>
      <c r="D476" s="86" t="s">
        <v>532</v>
      </c>
      <c r="E476" s="32">
        <f t="shared" si="17"/>
        <v>0</v>
      </c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7"/>
      <c r="FW476" s="27"/>
      <c r="FX476" s="28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6">
        <v>63.25</v>
      </c>
      <c r="GK476" s="26">
        <v>37</v>
      </c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  <c r="GY476" s="25"/>
      <c r="GZ476" s="25"/>
      <c r="HA476" s="25"/>
      <c r="HB476" s="25"/>
      <c r="HC476" s="25"/>
      <c r="HD476" s="25"/>
      <c r="HE476" s="25"/>
      <c r="HF476" s="25"/>
      <c r="HG476" s="25"/>
      <c r="HH476" s="25"/>
      <c r="HI476" s="25"/>
      <c r="HJ476" s="25"/>
      <c r="HK476" s="25"/>
      <c r="HL476" s="25"/>
    </row>
    <row r="477" spans="1:220" ht="15.75" customHeight="1" x14ac:dyDescent="0.2">
      <c r="A477" s="58">
        <v>43712.4843287037</v>
      </c>
      <c r="B477" s="26">
        <v>593198</v>
      </c>
      <c r="C477" s="26">
        <v>99.28</v>
      </c>
      <c r="D477" s="86" t="s">
        <v>533</v>
      </c>
      <c r="E477" s="32">
        <f t="shared" si="17"/>
        <v>0</v>
      </c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7"/>
      <c r="FW477" s="27"/>
      <c r="FX477" s="28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6">
        <v>49.28</v>
      </c>
      <c r="GK477" s="26">
        <v>50</v>
      </c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  <c r="GY477" s="25"/>
      <c r="GZ477" s="25"/>
      <c r="HA477" s="25"/>
      <c r="HB477" s="25"/>
      <c r="HC477" s="25"/>
      <c r="HD477" s="25"/>
      <c r="HE477" s="25"/>
      <c r="HF477" s="25"/>
      <c r="HG477" s="25"/>
      <c r="HH477" s="25"/>
      <c r="HI477" s="25"/>
      <c r="HJ477" s="25"/>
      <c r="HK477" s="25"/>
      <c r="HL477" s="25"/>
    </row>
    <row r="478" spans="1:220" ht="15.75" customHeight="1" x14ac:dyDescent="0.2">
      <c r="A478" s="58">
        <v>43712.4843287037</v>
      </c>
      <c r="B478" s="26">
        <v>593198</v>
      </c>
      <c r="C478" s="26">
        <v>98.2</v>
      </c>
      <c r="D478" s="86" t="s">
        <v>534</v>
      </c>
      <c r="E478" s="32">
        <f t="shared" si="17"/>
        <v>0</v>
      </c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7"/>
      <c r="FW478" s="27"/>
      <c r="FX478" s="28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6"/>
      <c r="GJ478" s="26">
        <v>48.2</v>
      </c>
      <c r="GK478" s="26">
        <v>50</v>
      </c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  <c r="GY478" s="25"/>
      <c r="GZ478" s="25"/>
      <c r="HA478" s="25"/>
      <c r="HB478" s="25"/>
      <c r="HC478" s="25"/>
      <c r="HD478" s="25"/>
      <c r="HE478" s="25"/>
      <c r="HF478" s="25"/>
      <c r="HG478" s="25"/>
      <c r="HH478" s="25"/>
      <c r="HI478" s="25"/>
      <c r="HJ478" s="25"/>
      <c r="HK478" s="25"/>
      <c r="HL478" s="25"/>
    </row>
    <row r="479" spans="1:220" ht="15.75" customHeight="1" x14ac:dyDescent="0.2">
      <c r="A479" s="58">
        <v>43712.468506944446</v>
      </c>
      <c r="B479" s="26">
        <v>593916</v>
      </c>
      <c r="C479" s="26">
        <v>27.06</v>
      </c>
      <c r="D479" s="86" t="s">
        <v>535</v>
      </c>
      <c r="E479" s="32">
        <f t="shared" si="17"/>
        <v>9.9999999999980105E-3</v>
      </c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7"/>
      <c r="FW479" s="27"/>
      <c r="FX479" s="28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6">
        <v>27.05</v>
      </c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</row>
    <row r="480" spans="1:220" ht="15.75" customHeight="1" x14ac:dyDescent="0.2">
      <c r="A480" s="66">
        <v>43724.296805555554</v>
      </c>
      <c r="B480" s="67">
        <v>595102</v>
      </c>
      <c r="C480" s="68">
        <v>197</v>
      </c>
      <c r="D480" s="81" t="s">
        <v>386</v>
      </c>
      <c r="E480" s="32">
        <f t="shared" si="17"/>
        <v>0</v>
      </c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  <c r="EQ480" s="65"/>
      <c r="ER480" s="65"/>
      <c r="ES480" s="65"/>
      <c r="ET480" s="65"/>
      <c r="EU480" s="65"/>
      <c r="EV480" s="65"/>
      <c r="EW480" s="65"/>
      <c r="EX480" s="65"/>
      <c r="EY480" s="65"/>
      <c r="EZ480" s="65"/>
      <c r="FA480" s="65"/>
      <c r="FB480" s="65"/>
      <c r="FC480" s="65"/>
      <c r="FD480" s="65"/>
      <c r="FE480" s="65"/>
      <c r="FF480" s="65"/>
      <c r="FG480" s="65"/>
      <c r="FH480" s="65"/>
      <c r="FI480" s="65"/>
      <c r="FJ480" s="65"/>
      <c r="FK480" s="65"/>
      <c r="FL480" s="65"/>
      <c r="FM480" s="65"/>
      <c r="FN480" s="65"/>
      <c r="FO480" s="65"/>
      <c r="FP480" s="65"/>
      <c r="FQ480" s="65"/>
      <c r="FR480" s="65"/>
      <c r="FS480" s="65"/>
      <c r="FT480" s="65"/>
      <c r="FU480" s="65"/>
      <c r="FV480" s="28">
        <v>197</v>
      </c>
      <c r="FW480" s="28"/>
      <c r="FX480" s="28"/>
      <c r="FY480" s="26"/>
      <c r="FZ480" s="26"/>
      <c r="GA480" s="26"/>
      <c r="GB480" s="26"/>
      <c r="GC480" s="26"/>
      <c r="GD480" s="26"/>
      <c r="GE480" s="26"/>
      <c r="GF480" s="26"/>
      <c r="GG480" s="26"/>
      <c r="GH480" s="26"/>
      <c r="GI480" s="26"/>
      <c r="GJ480" s="26"/>
      <c r="GK480" s="26"/>
      <c r="GL480" s="65"/>
      <c r="GM480" s="26"/>
      <c r="GN480" s="26"/>
      <c r="GO480" s="26"/>
      <c r="GP480" s="26"/>
      <c r="GQ480" s="26"/>
      <c r="GR480" s="26"/>
      <c r="GS480" s="64"/>
      <c r="GT480" s="26"/>
      <c r="GU480" s="26"/>
      <c r="GV480" s="26"/>
      <c r="GW480" s="26"/>
      <c r="GX480" s="64"/>
      <c r="GY480" s="26"/>
      <c r="GZ480" s="26"/>
      <c r="HA480" s="26"/>
      <c r="HB480" s="26"/>
      <c r="HC480" s="65"/>
      <c r="HD480" s="26"/>
      <c r="HE480" s="26"/>
      <c r="HF480" s="26"/>
      <c r="HG480" s="26"/>
      <c r="HH480" s="65"/>
      <c r="HI480" s="26"/>
      <c r="HJ480" s="26"/>
      <c r="HK480" s="65"/>
      <c r="HL480" s="25"/>
    </row>
    <row r="481" spans="1:220" ht="15.75" customHeight="1" x14ac:dyDescent="0.2">
      <c r="A481" s="58">
        <v>43724.296805555554</v>
      </c>
      <c r="B481" s="32">
        <v>595102</v>
      </c>
      <c r="C481" s="69">
        <v>210</v>
      </c>
      <c r="D481" s="81" t="s">
        <v>387</v>
      </c>
      <c r="E481" s="32">
        <f t="shared" si="17"/>
        <v>0</v>
      </c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8">
        <v>210</v>
      </c>
      <c r="FW481" s="28"/>
      <c r="FX481" s="28"/>
      <c r="FY481" s="26"/>
      <c r="FZ481" s="26"/>
      <c r="GA481" s="26"/>
      <c r="GB481" s="26"/>
      <c r="GC481" s="26"/>
      <c r="GD481" s="26"/>
      <c r="GE481" s="26"/>
      <c r="GF481" s="26"/>
      <c r="GG481" s="26"/>
      <c r="GH481" s="26"/>
      <c r="GI481" s="26"/>
      <c r="GJ481" s="26"/>
      <c r="GK481" s="26"/>
      <c r="GL481" s="65"/>
      <c r="GM481" s="26"/>
      <c r="GN481" s="26"/>
      <c r="GO481" s="26"/>
      <c r="GP481" s="26"/>
      <c r="GQ481" s="26"/>
      <c r="GR481" s="26"/>
      <c r="GS481" s="64"/>
      <c r="GT481" s="26"/>
      <c r="GU481" s="26"/>
      <c r="GV481" s="26"/>
      <c r="GW481" s="26"/>
      <c r="GX481" s="64"/>
      <c r="GY481" s="26"/>
      <c r="GZ481" s="26"/>
      <c r="HA481" s="26"/>
      <c r="HB481" s="26"/>
      <c r="HC481" s="65"/>
      <c r="HD481" s="26"/>
      <c r="HE481" s="26"/>
      <c r="HF481" s="26"/>
      <c r="HG481" s="26"/>
      <c r="HH481" s="65"/>
      <c r="HI481" s="26"/>
      <c r="HJ481" s="26"/>
      <c r="HK481" s="25"/>
      <c r="HL481" s="25"/>
    </row>
    <row r="482" spans="1:220" ht="15.75" customHeight="1" x14ac:dyDescent="0.2">
      <c r="A482" s="58">
        <v>43724.296805555554</v>
      </c>
      <c r="B482" s="32">
        <v>595102</v>
      </c>
      <c r="C482" s="69">
        <v>208</v>
      </c>
      <c r="D482" s="81" t="s">
        <v>388</v>
      </c>
      <c r="E482" s="32">
        <f t="shared" si="17"/>
        <v>0</v>
      </c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8">
        <v>208</v>
      </c>
      <c r="FW482" s="28"/>
      <c r="FX482" s="28"/>
      <c r="FY482" s="26"/>
      <c r="FZ482" s="26"/>
      <c r="GA482" s="26"/>
      <c r="GB482" s="26"/>
      <c r="GC482" s="26"/>
      <c r="GD482" s="26"/>
      <c r="GE482" s="26"/>
      <c r="GF482" s="26"/>
      <c r="GG482" s="26"/>
      <c r="GH482" s="26"/>
      <c r="GI482" s="26"/>
      <c r="GJ482" s="26"/>
      <c r="GK482" s="26"/>
      <c r="GL482" s="65"/>
      <c r="GM482" s="26"/>
      <c r="GN482" s="26"/>
      <c r="GO482" s="26"/>
      <c r="GP482" s="26"/>
      <c r="GQ482" s="26"/>
      <c r="GR482" s="26"/>
      <c r="GS482" s="64"/>
      <c r="GT482" s="26"/>
      <c r="GU482" s="26"/>
      <c r="GV482" s="26"/>
      <c r="GW482" s="26"/>
      <c r="GX482" s="64"/>
      <c r="GY482" s="26"/>
      <c r="GZ482" s="26"/>
      <c r="HA482" s="26"/>
      <c r="HB482" s="26"/>
      <c r="HC482" s="65"/>
      <c r="HD482" s="26"/>
      <c r="HE482" s="26"/>
      <c r="HF482" s="26"/>
      <c r="HG482" s="26"/>
      <c r="HH482" s="65"/>
      <c r="HI482" s="26"/>
      <c r="HJ482" s="26"/>
      <c r="HK482" s="25"/>
      <c r="HL482" s="25"/>
    </row>
    <row r="483" spans="1:220" ht="15.75" customHeight="1" x14ac:dyDescent="0.2">
      <c r="A483" s="58">
        <v>43724.296805555554</v>
      </c>
      <c r="B483" s="32">
        <v>595102</v>
      </c>
      <c r="C483" s="69">
        <v>200</v>
      </c>
      <c r="D483" s="81" t="s">
        <v>389</v>
      </c>
      <c r="E483" s="32">
        <f t="shared" si="17"/>
        <v>0</v>
      </c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8">
        <v>200</v>
      </c>
      <c r="FW483" s="28"/>
      <c r="FX483" s="28"/>
      <c r="FY483" s="26"/>
      <c r="FZ483" s="26"/>
      <c r="GA483" s="26"/>
      <c r="GB483" s="26"/>
      <c r="GC483" s="26"/>
      <c r="GD483" s="26"/>
      <c r="GE483" s="26"/>
      <c r="GF483" s="26"/>
      <c r="GG483" s="26"/>
      <c r="GH483" s="26"/>
      <c r="GI483" s="26"/>
      <c r="GJ483" s="26"/>
      <c r="GK483" s="26"/>
      <c r="GL483" s="65"/>
      <c r="GM483" s="26"/>
      <c r="GN483" s="26"/>
      <c r="GO483" s="26"/>
      <c r="GP483" s="26"/>
      <c r="GQ483" s="26"/>
      <c r="GR483" s="26"/>
      <c r="GS483" s="64"/>
      <c r="GT483" s="26"/>
      <c r="GU483" s="26"/>
      <c r="GV483" s="26"/>
      <c r="GW483" s="26"/>
      <c r="GX483" s="64"/>
      <c r="GY483" s="26"/>
      <c r="GZ483" s="26"/>
      <c r="HA483" s="26"/>
      <c r="HB483" s="26"/>
      <c r="HC483" s="65"/>
      <c r="HD483" s="26"/>
      <c r="HE483" s="26"/>
      <c r="HF483" s="26"/>
      <c r="HG483" s="26"/>
      <c r="HH483" s="65"/>
      <c r="HI483" s="26"/>
      <c r="HJ483" s="26"/>
      <c r="HK483" s="25"/>
      <c r="HL483" s="25"/>
    </row>
    <row r="484" spans="1:220" ht="15.75" customHeight="1" x14ac:dyDescent="0.2">
      <c r="A484" s="58">
        <v>43719.668217592596</v>
      </c>
      <c r="B484" s="32">
        <v>594368</v>
      </c>
      <c r="C484" s="70">
        <v>120</v>
      </c>
      <c r="D484" s="81" t="s">
        <v>536</v>
      </c>
      <c r="E484" s="32">
        <f t="shared" si="17"/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8"/>
      <c r="FW484" s="28"/>
      <c r="FX484" s="28"/>
      <c r="FY484" s="26"/>
      <c r="FZ484" s="26"/>
      <c r="GA484" s="26">
        <v>120</v>
      </c>
      <c r="GB484" s="26"/>
      <c r="GC484" s="26"/>
      <c r="GD484" s="26"/>
      <c r="GE484" s="26"/>
      <c r="GF484" s="26"/>
      <c r="GG484" s="26"/>
      <c r="GH484" s="26"/>
      <c r="GI484" s="26"/>
      <c r="GJ484" s="26"/>
      <c r="GK484" s="26"/>
      <c r="GL484" s="65"/>
      <c r="GM484" s="26"/>
      <c r="GN484" s="26"/>
      <c r="GO484" s="26"/>
      <c r="GP484" s="26"/>
      <c r="GQ484" s="26"/>
      <c r="GR484" s="26"/>
      <c r="GS484" s="64"/>
      <c r="GT484" s="26"/>
      <c r="GU484" s="26"/>
      <c r="GV484" s="26"/>
      <c r="GW484" s="26"/>
      <c r="GX484" s="64"/>
      <c r="GY484" s="26"/>
      <c r="GZ484" s="26"/>
      <c r="HA484" s="26"/>
      <c r="HB484" s="26"/>
      <c r="HC484" s="65"/>
      <c r="HD484" s="26"/>
      <c r="HE484" s="26"/>
      <c r="HF484" s="26"/>
      <c r="HG484" s="26"/>
      <c r="HH484" s="65"/>
      <c r="HI484" s="26"/>
      <c r="HJ484" s="26"/>
      <c r="HK484" s="25"/>
      <c r="HL484" s="25"/>
    </row>
    <row r="485" spans="1:220" ht="15.75" customHeight="1" x14ac:dyDescent="0.2">
      <c r="A485" s="58">
        <v>43719.668217592596</v>
      </c>
      <c r="B485" s="32">
        <v>594368</v>
      </c>
      <c r="C485" s="70">
        <v>105</v>
      </c>
      <c r="D485" s="81" t="s">
        <v>537</v>
      </c>
      <c r="E485" s="32">
        <f t="shared" si="17"/>
        <v>0</v>
      </c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  <c r="FJ485" s="25"/>
      <c r="FK485" s="25"/>
      <c r="FL485" s="25"/>
      <c r="FM485" s="25"/>
      <c r="FN485" s="25"/>
      <c r="FO485" s="25"/>
      <c r="FP485" s="25"/>
      <c r="FQ485" s="25"/>
      <c r="FR485" s="25"/>
      <c r="FS485" s="25"/>
      <c r="FT485" s="25"/>
      <c r="FU485" s="25"/>
      <c r="FV485" s="28"/>
      <c r="FW485" s="28"/>
      <c r="FX485" s="28"/>
      <c r="FY485" s="26"/>
      <c r="FZ485" s="26"/>
      <c r="GA485" s="26">
        <v>105</v>
      </c>
      <c r="GB485" s="26"/>
      <c r="GC485" s="26"/>
      <c r="GD485" s="26"/>
      <c r="GE485" s="26"/>
      <c r="GF485" s="26"/>
      <c r="GG485" s="26"/>
      <c r="GH485" s="26"/>
      <c r="GI485" s="26"/>
      <c r="GJ485" s="26"/>
      <c r="GK485" s="26"/>
      <c r="GL485" s="65"/>
      <c r="GM485" s="26"/>
      <c r="GN485" s="26"/>
      <c r="GO485" s="26"/>
      <c r="GP485" s="26"/>
      <c r="GQ485" s="26"/>
      <c r="GR485" s="26"/>
      <c r="GS485" s="64"/>
      <c r="GT485" s="26"/>
      <c r="GU485" s="26"/>
      <c r="GV485" s="26"/>
      <c r="GW485" s="26"/>
      <c r="GX485" s="64"/>
      <c r="GY485" s="26"/>
      <c r="GZ485" s="26"/>
      <c r="HA485" s="26"/>
      <c r="HB485" s="26"/>
      <c r="HC485" s="65"/>
      <c r="HD485" s="26"/>
      <c r="HE485" s="26"/>
      <c r="HF485" s="26"/>
      <c r="HG485" s="26"/>
      <c r="HH485" s="65"/>
      <c r="HI485" s="26"/>
      <c r="HJ485" s="26"/>
      <c r="HK485" s="25"/>
      <c r="HL485" s="25"/>
    </row>
    <row r="486" spans="1:220" ht="15.75" customHeight="1" x14ac:dyDescent="0.2">
      <c r="A486" s="58">
        <v>43719.668217592596</v>
      </c>
      <c r="B486" s="32">
        <v>594368</v>
      </c>
      <c r="C486" s="70">
        <v>115</v>
      </c>
      <c r="D486" s="81" t="s">
        <v>538</v>
      </c>
      <c r="E486" s="32">
        <f t="shared" si="17"/>
        <v>0</v>
      </c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8"/>
      <c r="FW486" s="28"/>
      <c r="FX486" s="28"/>
      <c r="FY486" s="26"/>
      <c r="FZ486" s="26"/>
      <c r="GA486" s="26">
        <v>115</v>
      </c>
      <c r="GB486" s="26"/>
      <c r="GC486" s="26"/>
      <c r="GD486" s="26"/>
      <c r="GE486" s="26"/>
      <c r="GF486" s="26"/>
      <c r="GG486" s="26"/>
      <c r="GH486" s="26"/>
      <c r="GI486" s="26"/>
      <c r="GJ486" s="26"/>
      <c r="GK486" s="26"/>
      <c r="GL486" s="65"/>
      <c r="GM486" s="26"/>
      <c r="GN486" s="26"/>
      <c r="GO486" s="26"/>
      <c r="GP486" s="26"/>
      <c r="GQ486" s="26"/>
      <c r="GR486" s="26"/>
      <c r="GS486" s="64"/>
      <c r="GT486" s="26"/>
      <c r="GU486" s="26"/>
      <c r="GV486" s="26"/>
      <c r="GW486" s="26"/>
      <c r="GX486" s="64"/>
      <c r="GY486" s="26"/>
      <c r="GZ486" s="26"/>
      <c r="HA486" s="26"/>
      <c r="HB486" s="26"/>
      <c r="HC486" s="65"/>
      <c r="HD486" s="26"/>
      <c r="HE486" s="26"/>
      <c r="HF486" s="26"/>
      <c r="HG486" s="26"/>
      <c r="HH486" s="65"/>
      <c r="HI486" s="26"/>
      <c r="HJ486" s="26"/>
      <c r="HK486" s="25"/>
      <c r="HL486" s="25"/>
    </row>
    <row r="487" spans="1:220" ht="15.75" customHeight="1" x14ac:dyDescent="0.2">
      <c r="A487" s="58">
        <v>43719.668217592596</v>
      </c>
      <c r="B487" s="32">
        <v>594368</v>
      </c>
      <c r="C487" s="70">
        <v>125</v>
      </c>
      <c r="D487" s="81" t="s">
        <v>539</v>
      </c>
      <c r="E487" s="32">
        <f t="shared" si="17"/>
        <v>0</v>
      </c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8"/>
      <c r="FW487" s="28"/>
      <c r="FX487" s="28"/>
      <c r="FY487" s="26"/>
      <c r="FZ487" s="26"/>
      <c r="GA487" s="26">
        <v>125</v>
      </c>
      <c r="GB487" s="26"/>
      <c r="GC487" s="26"/>
      <c r="GD487" s="26"/>
      <c r="GE487" s="26"/>
      <c r="GF487" s="26"/>
      <c r="GG487" s="26"/>
      <c r="GH487" s="26"/>
      <c r="GI487" s="26"/>
      <c r="GJ487" s="26"/>
      <c r="GK487" s="26"/>
      <c r="GL487" s="65"/>
      <c r="GM487" s="26"/>
      <c r="GN487" s="26"/>
      <c r="GO487" s="26"/>
      <c r="GP487" s="26"/>
      <c r="GQ487" s="26"/>
      <c r="GR487" s="26"/>
      <c r="GS487" s="64"/>
      <c r="GT487" s="26"/>
      <c r="GU487" s="26"/>
      <c r="GV487" s="26"/>
      <c r="GW487" s="26"/>
      <c r="GX487" s="64"/>
      <c r="GY487" s="26"/>
      <c r="GZ487" s="26"/>
      <c r="HA487" s="26"/>
      <c r="HB487" s="26"/>
      <c r="HC487" s="65"/>
      <c r="HD487" s="26"/>
      <c r="HE487" s="26"/>
      <c r="HF487" s="26"/>
      <c r="HG487" s="26"/>
      <c r="HH487" s="65"/>
      <c r="HI487" s="26"/>
      <c r="HJ487" s="26"/>
      <c r="HK487" s="25"/>
      <c r="HL487" s="25"/>
    </row>
    <row r="488" spans="1:220" ht="15.75" customHeight="1" x14ac:dyDescent="0.2">
      <c r="A488" s="58">
        <v>43719.668217592596</v>
      </c>
      <c r="B488" s="32">
        <v>594368</v>
      </c>
      <c r="C488" s="70">
        <v>90</v>
      </c>
      <c r="D488" s="81" t="s">
        <v>540</v>
      </c>
      <c r="E488" s="32">
        <f t="shared" si="17"/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8"/>
      <c r="FW488" s="36"/>
      <c r="FX488" s="28"/>
      <c r="FY488" s="26"/>
      <c r="FZ488" s="26"/>
      <c r="GA488" s="26">
        <v>90</v>
      </c>
      <c r="GB488" s="26"/>
      <c r="GC488" s="26"/>
      <c r="GD488" s="26"/>
      <c r="GE488" s="26"/>
      <c r="GF488" s="26"/>
      <c r="GG488" s="26"/>
      <c r="GH488" s="26"/>
      <c r="GI488" s="26"/>
      <c r="GJ488" s="26"/>
      <c r="GK488" s="26"/>
      <c r="GL488" s="65"/>
      <c r="GM488" s="26"/>
      <c r="GN488" s="26"/>
      <c r="GO488" s="26"/>
      <c r="GP488" s="26"/>
      <c r="GQ488" s="26"/>
      <c r="GR488" s="26"/>
      <c r="GS488" s="64"/>
      <c r="GT488" s="26"/>
      <c r="GU488" s="26"/>
      <c r="GV488" s="26"/>
      <c r="GW488" s="26"/>
      <c r="GX488" s="64"/>
      <c r="GY488" s="26"/>
      <c r="GZ488" s="26"/>
      <c r="HA488" s="26"/>
      <c r="HB488" s="26"/>
      <c r="HC488" s="65"/>
      <c r="HD488" s="26"/>
      <c r="HE488" s="26"/>
      <c r="HF488" s="26"/>
      <c r="HG488" s="26"/>
      <c r="HH488" s="65"/>
      <c r="HI488" s="26"/>
      <c r="HJ488" s="26"/>
      <c r="HK488" s="25"/>
      <c r="HL488" s="25"/>
    </row>
    <row r="489" spans="1:220" ht="15.75" customHeight="1" x14ac:dyDescent="0.2">
      <c r="A489" s="58">
        <v>43719.668217592596</v>
      </c>
      <c r="B489" s="32">
        <v>594368</v>
      </c>
      <c r="C489" s="70">
        <v>95</v>
      </c>
      <c r="D489" s="81" t="s">
        <v>541</v>
      </c>
      <c r="E489" s="32">
        <f t="shared" si="17"/>
        <v>0</v>
      </c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8"/>
      <c r="FW489" s="28"/>
      <c r="FX489" s="28"/>
      <c r="FY489" s="26"/>
      <c r="FZ489" s="26"/>
      <c r="GA489" s="26">
        <v>95</v>
      </c>
      <c r="GB489" s="26"/>
      <c r="GC489" s="26"/>
      <c r="GD489" s="26"/>
      <c r="GE489" s="26"/>
      <c r="GF489" s="26"/>
      <c r="GG489" s="26"/>
      <c r="GH489" s="26"/>
      <c r="GI489" s="26"/>
      <c r="GJ489" s="26"/>
      <c r="GK489" s="26"/>
      <c r="GL489" s="65"/>
      <c r="GM489" s="26"/>
      <c r="GN489" s="26"/>
      <c r="GO489" s="26"/>
      <c r="GP489" s="26"/>
      <c r="GQ489" s="26"/>
      <c r="GR489" s="26"/>
      <c r="GS489" s="64"/>
      <c r="GT489" s="26"/>
      <c r="GU489" s="26"/>
      <c r="GV489" s="26"/>
      <c r="GW489" s="26"/>
      <c r="GX489" s="64"/>
      <c r="GY489" s="26"/>
      <c r="GZ489" s="26"/>
      <c r="HA489" s="26"/>
      <c r="HB489" s="26"/>
      <c r="HC489" s="65"/>
      <c r="HD489" s="26"/>
      <c r="HE489" s="26"/>
      <c r="HF489" s="26"/>
      <c r="HG489" s="26"/>
      <c r="HH489" s="65"/>
      <c r="HI489" s="26"/>
      <c r="HJ489" s="26"/>
      <c r="HK489" s="25"/>
      <c r="HL489" s="25"/>
    </row>
    <row r="490" spans="1:220" ht="15.75" customHeight="1" x14ac:dyDescent="0.2">
      <c r="A490" s="58">
        <v>43719.668217592596</v>
      </c>
      <c r="B490" s="32">
        <v>594368</v>
      </c>
      <c r="C490" s="70">
        <v>96.85</v>
      </c>
      <c r="D490" s="81" t="s">
        <v>542</v>
      </c>
      <c r="E490" s="32">
        <f t="shared" si="17"/>
        <v>0</v>
      </c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8"/>
      <c r="FW490" s="28"/>
      <c r="FX490" s="28"/>
      <c r="FY490" s="26"/>
      <c r="FZ490" s="26"/>
      <c r="GA490" s="26">
        <v>96.85</v>
      </c>
      <c r="GB490" s="26"/>
      <c r="GC490" s="26"/>
      <c r="GD490" s="26"/>
      <c r="GE490" s="26"/>
      <c r="GF490" s="26"/>
      <c r="GG490" s="26"/>
      <c r="GH490" s="26"/>
      <c r="GI490" s="26"/>
      <c r="GJ490" s="26"/>
      <c r="GK490" s="26"/>
      <c r="GL490" s="65"/>
      <c r="GM490" s="26"/>
      <c r="GN490" s="26"/>
      <c r="GO490" s="26"/>
      <c r="GP490" s="26"/>
      <c r="GQ490" s="26"/>
      <c r="GR490" s="26"/>
      <c r="GS490" s="64"/>
      <c r="GT490" s="26"/>
      <c r="GU490" s="26"/>
      <c r="GV490" s="26"/>
      <c r="GW490" s="26"/>
      <c r="GX490" s="64"/>
      <c r="GY490" s="26"/>
      <c r="GZ490" s="26"/>
      <c r="HA490" s="26"/>
      <c r="HB490" s="26"/>
      <c r="HC490" s="65"/>
      <c r="HD490" s="26"/>
      <c r="HE490" s="26"/>
      <c r="HF490" s="26"/>
      <c r="HG490" s="26"/>
      <c r="HH490" s="65"/>
      <c r="HI490" s="26"/>
      <c r="HJ490" s="26"/>
      <c r="HK490" s="25"/>
      <c r="HL490" s="25"/>
    </row>
    <row r="491" spans="1:220" ht="15.75" customHeight="1" x14ac:dyDescent="0.2">
      <c r="A491" s="58">
        <v>43719.274988425925</v>
      </c>
      <c r="B491" s="32">
        <v>594298</v>
      </c>
      <c r="C491" s="70">
        <v>100</v>
      </c>
      <c r="D491" s="81" t="s">
        <v>543</v>
      </c>
      <c r="E491" s="32">
        <f t="shared" si="17"/>
        <v>0</v>
      </c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8"/>
      <c r="FW491" s="28"/>
      <c r="FX491" s="28"/>
      <c r="FY491" s="26"/>
      <c r="FZ491" s="26"/>
      <c r="GA491" s="26">
        <v>17</v>
      </c>
      <c r="GB491" s="26">
        <v>83</v>
      </c>
      <c r="GC491" s="26"/>
      <c r="GD491" s="26"/>
      <c r="GE491" s="26"/>
      <c r="GF491" s="26"/>
      <c r="GG491" s="26"/>
      <c r="GH491" s="26"/>
      <c r="GI491" s="26"/>
      <c r="GJ491" s="26"/>
      <c r="GK491" s="26"/>
      <c r="GL491" s="65"/>
      <c r="GM491" s="26"/>
      <c r="GN491" s="26"/>
      <c r="GO491" s="26"/>
      <c r="GP491" s="26"/>
      <c r="GQ491" s="26"/>
      <c r="GR491" s="26"/>
      <c r="GS491" s="64"/>
      <c r="GT491" s="26"/>
      <c r="GU491" s="26"/>
      <c r="GV491" s="26"/>
      <c r="GW491" s="26"/>
      <c r="GX491" s="64"/>
      <c r="GY491" s="26"/>
      <c r="GZ491" s="26"/>
      <c r="HA491" s="26"/>
      <c r="HB491" s="26"/>
      <c r="HC491" s="65"/>
      <c r="HD491" s="26"/>
      <c r="HE491" s="26"/>
      <c r="HF491" s="26"/>
      <c r="HG491" s="26"/>
      <c r="HH491" s="65"/>
      <c r="HI491" s="26"/>
      <c r="HJ491" s="26"/>
      <c r="HK491" s="25"/>
      <c r="HL491" s="25"/>
    </row>
    <row r="492" spans="1:220" ht="15.75" customHeight="1" x14ac:dyDescent="0.2">
      <c r="A492" s="58">
        <v>43719.274085648147</v>
      </c>
      <c r="B492" s="32">
        <v>594297</v>
      </c>
      <c r="C492" s="70">
        <v>100</v>
      </c>
      <c r="D492" s="81" t="s">
        <v>544</v>
      </c>
      <c r="E492" s="32">
        <f t="shared" si="17"/>
        <v>0</v>
      </c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8"/>
      <c r="FW492" s="28"/>
      <c r="FX492" s="28"/>
      <c r="FY492" s="26"/>
      <c r="FZ492" s="26"/>
      <c r="GA492" s="26">
        <v>26</v>
      </c>
      <c r="GB492" s="26">
        <v>74</v>
      </c>
      <c r="GC492" s="26"/>
      <c r="GD492" s="26"/>
      <c r="GE492" s="26"/>
      <c r="GF492" s="26"/>
      <c r="GG492" s="26"/>
      <c r="GH492" s="26"/>
      <c r="GI492" s="26"/>
      <c r="GJ492" s="26"/>
      <c r="GK492" s="26"/>
      <c r="GL492" s="65"/>
      <c r="GM492" s="26"/>
      <c r="GN492" s="26"/>
      <c r="GO492" s="26"/>
      <c r="GP492" s="26"/>
      <c r="GQ492" s="26"/>
      <c r="GR492" s="26"/>
      <c r="GS492" s="64"/>
      <c r="GT492" s="26"/>
      <c r="GU492" s="26"/>
      <c r="GV492" s="26"/>
      <c r="GW492" s="26"/>
      <c r="GX492" s="64"/>
      <c r="GY492" s="26"/>
      <c r="GZ492" s="26"/>
      <c r="HA492" s="26"/>
      <c r="HB492" s="26"/>
      <c r="HC492" s="65"/>
      <c r="HD492" s="26"/>
      <c r="HE492" s="26"/>
      <c r="HF492" s="26"/>
      <c r="HG492" s="26"/>
      <c r="HH492" s="65"/>
      <c r="HI492" s="26"/>
      <c r="HJ492" s="26"/>
      <c r="HK492" s="25"/>
      <c r="HL492" s="25"/>
    </row>
    <row r="493" spans="1:220" ht="15.75" customHeight="1" x14ac:dyDescent="0.2">
      <c r="A493" s="58">
        <v>43719.274085648147</v>
      </c>
      <c r="B493" s="32">
        <v>594297</v>
      </c>
      <c r="C493" s="70">
        <v>110</v>
      </c>
      <c r="D493" s="81" t="s">
        <v>545</v>
      </c>
      <c r="E493" s="32">
        <f t="shared" si="17"/>
        <v>0</v>
      </c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8"/>
      <c r="FW493" s="28"/>
      <c r="FX493" s="28"/>
      <c r="FY493" s="26"/>
      <c r="FZ493" s="26"/>
      <c r="GA493" s="26">
        <v>36</v>
      </c>
      <c r="GB493" s="26">
        <v>74</v>
      </c>
      <c r="GC493" s="26"/>
      <c r="GD493" s="26"/>
      <c r="GE493" s="26"/>
      <c r="GF493" s="26"/>
      <c r="GG493" s="26"/>
      <c r="GH493" s="26"/>
      <c r="GI493" s="26"/>
      <c r="GJ493" s="26"/>
      <c r="GK493" s="26"/>
      <c r="GL493" s="65"/>
      <c r="GM493" s="26"/>
      <c r="GN493" s="26"/>
      <c r="GO493" s="26"/>
      <c r="GP493" s="26"/>
      <c r="GQ493" s="26"/>
      <c r="GR493" s="26"/>
      <c r="GS493" s="64"/>
      <c r="GT493" s="26"/>
      <c r="GU493" s="26"/>
      <c r="GV493" s="26"/>
      <c r="GW493" s="26"/>
      <c r="GX493" s="64"/>
      <c r="GY493" s="26"/>
      <c r="GZ493" s="26"/>
      <c r="HA493" s="26"/>
      <c r="HB493" s="26"/>
      <c r="HC493" s="65"/>
      <c r="HD493" s="26"/>
      <c r="HE493" s="26"/>
      <c r="HF493" s="26"/>
      <c r="HG493" s="26"/>
      <c r="HH493" s="65"/>
      <c r="HI493" s="26"/>
      <c r="HJ493" s="26"/>
      <c r="HK493" s="25"/>
      <c r="HL493" s="25"/>
    </row>
    <row r="494" spans="1:220" ht="15.75" customHeight="1" x14ac:dyDescent="0.2">
      <c r="A494" s="58">
        <v>43719.274085648147</v>
      </c>
      <c r="B494" s="32">
        <v>594297</v>
      </c>
      <c r="C494" s="70">
        <v>120</v>
      </c>
      <c r="D494" s="81" t="s">
        <v>546</v>
      </c>
      <c r="E494" s="32">
        <f t="shared" si="17"/>
        <v>0</v>
      </c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8"/>
      <c r="FW494" s="28"/>
      <c r="FX494" s="28"/>
      <c r="FY494" s="26"/>
      <c r="FZ494" s="26"/>
      <c r="GA494" s="26">
        <v>14</v>
      </c>
      <c r="GB494" s="26">
        <v>106</v>
      </c>
      <c r="GC494" s="26"/>
      <c r="GD494" s="26"/>
      <c r="GE494" s="26"/>
      <c r="GF494" s="26"/>
      <c r="GG494" s="26"/>
      <c r="GH494" s="26"/>
      <c r="GI494" s="26"/>
      <c r="GJ494" s="26"/>
      <c r="GK494" s="26"/>
      <c r="GL494" s="65"/>
      <c r="GM494" s="26"/>
      <c r="GN494" s="26"/>
      <c r="GO494" s="26"/>
      <c r="GP494" s="26"/>
      <c r="GQ494" s="26"/>
      <c r="GR494" s="26"/>
      <c r="GS494" s="64"/>
      <c r="GT494" s="26"/>
      <c r="GU494" s="26"/>
      <c r="GV494" s="26"/>
      <c r="GW494" s="26"/>
      <c r="GX494" s="64"/>
      <c r="GY494" s="26"/>
      <c r="GZ494" s="26"/>
      <c r="HA494" s="26"/>
      <c r="HB494" s="26"/>
      <c r="HC494" s="65"/>
      <c r="HD494" s="26"/>
      <c r="HE494" s="26"/>
      <c r="HF494" s="26"/>
      <c r="HG494" s="26"/>
      <c r="HH494" s="65"/>
      <c r="HI494" s="26"/>
      <c r="HJ494" s="26"/>
      <c r="HK494" s="25"/>
      <c r="HL494" s="25"/>
    </row>
    <row r="495" spans="1:220" ht="15.75" customHeight="1" x14ac:dyDescent="0.2">
      <c r="A495" s="58">
        <v>43719.274085648147</v>
      </c>
      <c r="B495" s="32">
        <v>594297</v>
      </c>
      <c r="C495" s="70">
        <v>80</v>
      </c>
      <c r="D495" s="81" t="s">
        <v>547</v>
      </c>
      <c r="E495" s="32">
        <f t="shared" si="17"/>
        <v>0</v>
      </c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  <c r="FJ495" s="25"/>
      <c r="FK495" s="25"/>
      <c r="FL495" s="25"/>
      <c r="FM495" s="25"/>
      <c r="FN495" s="25"/>
      <c r="FO495" s="25"/>
      <c r="FP495" s="25"/>
      <c r="FQ495" s="25"/>
      <c r="FR495" s="25"/>
      <c r="FS495" s="25"/>
      <c r="FT495" s="25"/>
      <c r="FU495" s="25"/>
      <c r="FV495" s="28"/>
      <c r="FW495" s="28"/>
      <c r="FX495" s="28"/>
      <c r="FY495" s="26"/>
      <c r="FZ495" s="26"/>
      <c r="GA495" s="26">
        <v>42</v>
      </c>
      <c r="GB495" s="26">
        <v>38</v>
      </c>
      <c r="GC495" s="26"/>
      <c r="GD495" s="26"/>
      <c r="GE495" s="26"/>
      <c r="GF495" s="26"/>
      <c r="GG495" s="26"/>
      <c r="GH495" s="26"/>
      <c r="GI495" s="26"/>
      <c r="GJ495" s="26"/>
      <c r="GK495" s="26"/>
      <c r="GL495" s="65"/>
      <c r="GM495" s="26"/>
      <c r="GN495" s="26"/>
      <c r="GO495" s="26"/>
      <c r="GP495" s="26"/>
      <c r="GQ495" s="26"/>
      <c r="GR495" s="26"/>
      <c r="GS495" s="64"/>
      <c r="GT495" s="26"/>
      <c r="GU495" s="26"/>
      <c r="GV495" s="26"/>
      <c r="GW495" s="26"/>
      <c r="GX495" s="64"/>
      <c r="GY495" s="26"/>
      <c r="GZ495" s="26"/>
      <c r="HA495" s="26"/>
      <c r="HB495" s="26"/>
      <c r="HC495" s="65"/>
      <c r="HD495" s="26"/>
      <c r="HE495" s="26"/>
      <c r="HF495" s="26"/>
      <c r="HG495" s="26"/>
      <c r="HH495" s="65"/>
      <c r="HI495" s="26"/>
      <c r="HJ495" s="26"/>
      <c r="HK495" s="25"/>
      <c r="HL495" s="25"/>
    </row>
    <row r="496" spans="1:220" ht="15.75" customHeight="1" x14ac:dyDescent="0.2">
      <c r="A496" s="58">
        <v>43719.274085648147</v>
      </c>
      <c r="B496" s="32">
        <v>594297</v>
      </c>
      <c r="C496" s="70">
        <v>90</v>
      </c>
      <c r="D496" s="81" t="s">
        <v>548</v>
      </c>
      <c r="E496" s="32">
        <f t="shared" si="17"/>
        <v>0</v>
      </c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8"/>
      <c r="FW496" s="28"/>
      <c r="FX496" s="28"/>
      <c r="FY496" s="26"/>
      <c r="FZ496" s="26"/>
      <c r="GA496" s="26">
        <v>23</v>
      </c>
      <c r="GB496" s="26">
        <v>67</v>
      </c>
      <c r="GC496" s="26"/>
      <c r="GD496" s="26"/>
      <c r="GE496" s="26"/>
      <c r="GF496" s="26"/>
      <c r="GG496" s="26"/>
      <c r="GH496" s="26"/>
      <c r="GI496" s="26"/>
      <c r="GJ496" s="26"/>
      <c r="GK496" s="26"/>
      <c r="GL496" s="65"/>
      <c r="GM496" s="26"/>
      <c r="GN496" s="26"/>
      <c r="GO496" s="26"/>
      <c r="GP496" s="26"/>
      <c r="GQ496" s="26"/>
      <c r="GR496" s="26"/>
      <c r="GS496" s="64"/>
      <c r="GT496" s="26"/>
      <c r="GU496" s="26"/>
      <c r="GV496" s="26"/>
      <c r="GW496" s="26"/>
      <c r="GX496" s="64"/>
      <c r="GY496" s="26"/>
      <c r="GZ496" s="26"/>
      <c r="HA496" s="26"/>
      <c r="HB496" s="26"/>
      <c r="HC496" s="65"/>
      <c r="HD496" s="26"/>
      <c r="HE496" s="26"/>
      <c r="HF496" s="26"/>
      <c r="HG496" s="26"/>
      <c r="HH496" s="65"/>
      <c r="HI496" s="26"/>
      <c r="HJ496" s="26"/>
      <c r="HK496" s="25"/>
      <c r="HL496" s="25"/>
    </row>
    <row r="497" spans="1:220" ht="15.75" customHeight="1" x14ac:dyDescent="0.2">
      <c r="A497" s="58">
        <v>43717.425254629627</v>
      </c>
      <c r="B497" s="32">
        <v>593922</v>
      </c>
      <c r="C497" s="70">
        <v>200</v>
      </c>
      <c r="D497" s="81" t="s">
        <v>464</v>
      </c>
      <c r="E497" s="32">
        <f t="shared" si="17"/>
        <v>0</v>
      </c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8"/>
      <c r="FW497" s="28"/>
      <c r="FX497" s="28"/>
      <c r="FY497" s="26"/>
      <c r="FZ497" s="26"/>
      <c r="GA497" s="26"/>
      <c r="GB497" s="26"/>
      <c r="GC497" s="26">
        <v>49</v>
      </c>
      <c r="GD497" s="26">
        <v>151</v>
      </c>
      <c r="GE497" s="26"/>
      <c r="GF497" s="26"/>
      <c r="GG497" s="26"/>
      <c r="GH497" s="26"/>
      <c r="GI497" s="26"/>
      <c r="GJ497" s="26"/>
      <c r="GK497" s="26"/>
      <c r="GL497" s="65"/>
      <c r="GM497" s="26"/>
      <c r="GN497" s="26"/>
      <c r="GO497" s="26"/>
      <c r="GP497" s="26"/>
      <c r="GQ497" s="26"/>
      <c r="GR497" s="26"/>
      <c r="GS497" s="64"/>
      <c r="GT497" s="26"/>
      <c r="GU497" s="26"/>
      <c r="GV497" s="26"/>
      <c r="GW497" s="26"/>
      <c r="GX497" s="64"/>
      <c r="GY497" s="26"/>
      <c r="GZ497" s="26"/>
      <c r="HA497" s="26"/>
      <c r="HB497" s="26"/>
      <c r="HC497" s="65"/>
      <c r="HD497" s="26"/>
      <c r="HE497" s="26"/>
      <c r="HF497" s="26"/>
      <c r="HG497" s="26"/>
      <c r="HH497" s="65"/>
      <c r="HI497" s="26"/>
      <c r="HJ497" s="26"/>
      <c r="HK497" s="25"/>
      <c r="HL497" s="25"/>
    </row>
    <row r="498" spans="1:220" ht="15.75" customHeight="1" x14ac:dyDescent="0.2">
      <c r="A498" s="58">
        <v>43717.425254629627</v>
      </c>
      <c r="B498" s="32">
        <v>593922</v>
      </c>
      <c r="C498" s="70">
        <v>220</v>
      </c>
      <c r="D498" s="81" t="s">
        <v>465</v>
      </c>
      <c r="E498" s="32">
        <f t="shared" si="17"/>
        <v>0</v>
      </c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8"/>
      <c r="FW498" s="28"/>
      <c r="FX498" s="28"/>
      <c r="FY498" s="26"/>
      <c r="FZ498" s="26"/>
      <c r="GA498" s="26"/>
      <c r="GB498" s="26"/>
      <c r="GC498" s="26">
        <v>110</v>
      </c>
      <c r="GD498" s="26">
        <v>110</v>
      </c>
      <c r="GE498" s="26"/>
      <c r="GF498" s="26"/>
      <c r="GG498" s="26"/>
      <c r="GH498" s="26"/>
      <c r="GI498" s="26"/>
      <c r="GJ498" s="26"/>
      <c r="GK498" s="26"/>
      <c r="GL498" s="65"/>
      <c r="GM498" s="26"/>
      <c r="GN498" s="26"/>
      <c r="GO498" s="26"/>
      <c r="GP498" s="26"/>
      <c r="GQ498" s="26"/>
      <c r="GR498" s="26"/>
      <c r="GS498" s="64"/>
      <c r="GT498" s="26"/>
      <c r="GU498" s="26"/>
      <c r="GV498" s="26"/>
      <c r="GW498" s="26"/>
      <c r="GX498" s="64"/>
      <c r="GY498" s="26"/>
      <c r="GZ498" s="26"/>
      <c r="HA498" s="26"/>
      <c r="HB498" s="26"/>
      <c r="HC498" s="65"/>
      <c r="HD498" s="26"/>
      <c r="HE498" s="26"/>
      <c r="HF498" s="26"/>
      <c r="HG498" s="26"/>
      <c r="HH498" s="65"/>
      <c r="HI498" s="26"/>
      <c r="HJ498" s="26"/>
      <c r="HK498" s="25"/>
      <c r="HL498" s="25"/>
    </row>
    <row r="499" spans="1:220" ht="15.75" customHeight="1" x14ac:dyDescent="0.2">
      <c r="A499" s="58">
        <v>43717.425254629627</v>
      </c>
      <c r="B499" s="32">
        <v>593922</v>
      </c>
      <c r="C499" s="70">
        <v>170</v>
      </c>
      <c r="D499" s="81" t="s">
        <v>466</v>
      </c>
      <c r="E499" s="32">
        <f t="shared" si="17"/>
        <v>0</v>
      </c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8"/>
      <c r="FW499" s="28"/>
      <c r="FX499" s="28"/>
      <c r="FY499" s="26"/>
      <c r="FZ499" s="26"/>
      <c r="GA499" s="26"/>
      <c r="GB499" s="26"/>
      <c r="GC499" s="26"/>
      <c r="GD499" s="26">
        <v>170</v>
      </c>
      <c r="GE499" s="26"/>
      <c r="GF499" s="26"/>
      <c r="GG499" s="26"/>
      <c r="GH499" s="26"/>
      <c r="GI499" s="26"/>
      <c r="GJ499" s="26"/>
      <c r="GK499" s="26"/>
      <c r="GL499" s="65"/>
      <c r="GM499" s="26"/>
      <c r="GN499" s="26"/>
      <c r="GO499" s="26"/>
      <c r="GP499" s="26"/>
      <c r="GQ499" s="26"/>
      <c r="GR499" s="26"/>
      <c r="GS499" s="64"/>
      <c r="GT499" s="26"/>
      <c r="GU499" s="26"/>
      <c r="GV499" s="26"/>
      <c r="GW499" s="26"/>
      <c r="GX499" s="64"/>
      <c r="GY499" s="26"/>
      <c r="GZ499" s="26"/>
      <c r="HA499" s="26"/>
      <c r="HB499" s="26"/>
      <c r="HC499" s="65"/>
      <c r="HD499" s="26"/>
      <c r="HE499" s="26"/>
      <c r="HF499" s="26"/>
      <c r="HG499" s="26"/>
      <c r="HH499" s="65"/>
      <c r="HI499" s="26"/>
      <c r="HJ499" s="26"/>
      <c r="HK499" s="25"/>
      <c r="HL499" s="25"/>
    </row>
    <row r="500" spans="1:220" ht="15.75" customHeight="1" x14ac:dyDescent="0.2">
      <c r="A500" s="58">
        <v>43717.425254629627</v>
      </c>
      <c r="B500" s="32">
        <v>593922</v>
      </c>
      <c r="C500" s="70">
        <v>200</v>
      </c>
      <c r="D500" s="81" t="s">
        <v>467</v>
      </c>
      <c r="E500" s="32">
        <f t="shared" si="17"/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8"/>
      <c r="FW500" s="28"/>
      <c r="FX500" s="28"/>
      <c r="FY500" s="26"/>
      <c r="FZ500" s="26"/>
      <c r="GA500" s="26"/>
      <c r="GB500" s="26"/>
      <c r="GC500" s="26">
        <v>91</v>
      </c>
      <c r="GD500" s="26">
        <v>109</v>
      </c>
      <c r="GE500" s="26"/>
      <c r="GF500" s="26"/>
      <c r="GG500" s="26"/>
      <c r="GH500" s="26"/>
      <c r="GI500" s="26"/>
      <c r="GJ500" s="26"/>
      <c r="GK500" s="26"/>
      <c r="GL500" s="65"/>
      <c r="GM500" s="26"/>
      <c r="GN500" s="26"/>
      <c r="GO500" s="26"/>
      <c r="GP500" s="26"/>
      <c r="GQ500" s="26"/>
      <c r="GR500" s="26"/>
      <c r="GS500" s="64"/>
      <c r="GT500" s="26"/>
      <c r="GU500" s="26"/>
      <c r="GV500" s="26"/>
      <c r="GW500" s="26"/>
      <c r="GX500" s="64"/>
      <c r="GY500" s="26"/>
      <c r="GZ500" s="26"/>
      <c r="HA500" s="26"/>
      <c r="HB500" s="26"/>
      <c r="HC500" s="65"/>
      <c r="HD500" s="26"/>
      <c r="HE500" s="26"/>
      <c r="HF500" s="26"/>
      <c r="HG500" s="26"/>
      <c r="HH500" s="65"/>
      <c r="HI500" s="26"/>
      <c r="HJ500" s="26"/>
      <c r="HK500" s="25"/>
      <c r="HL500" s="25"/>
    </row>
    <row r="501" spans="1:220" ht="15.75" customHeight="1" x14ac:dyDescent="0.2">
      <c r="A501" s="58">
        <v>43717.425254629627</v>
      </c>
      <c r="B501" s="32">
        <v>593922</v>
      </c>
      <c r="C501" s="70">
        <v>210</v>
      </c>
      <c r="D501" s="81" t="s">
        <v>468</v>
      </c>
      <c r="E501" s="32">
        <f t="shared" si="17"/>
        <v>0</v>
      </c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8"/>
      <c r="FW501" s="28"/>
      <c r="FX501" s="28"/>
      <c r="FY501" s="26"/>
      <c r="FZ501" s="26"/>
      <c r="GA501" s="26"/>
      <c r="GB501" s="26"/>
      <c r="GC501" s="26">
        <v>22</v>
      </c>
      <c r="GD501" s="26">
        <v>188</v>
      </c>
      <c r="GE501" s="26"/>
      <c r="GF501" s="26"/>
      <c r="GG501" s="26"/>
      <c r="GH501" s="26"/>
      <c r="GI501" s="26"/>
      <c r="GJ501" s="26"/>
      <c r="GK501" s="26"/>
      <c r="GL501" s="65"/>
      <c r="GM501" s="26"/>
      <c r="GN501" s="26"/>
      <c r="GO501" s="26"/>
      <c r="GP501" s="26"/>
      <c r="GQ501" s="26"/>
      <c r="GR501" s="26"/>
      <c r="GS501" s="64"/>
      <c r="GT501" s="26"/>
      <c r="GU501" s="26"/>
      <c r="GV501" s="26"/>
      <c r="GW501" s="26"/>
      <c r="GX501" s="64"/>
      <c r="GY501" s="26"/>
      <c r="GZ501" s="26"/>
      <c r="HA501" s="26"/>
      <c r="HB501" s="26"/>
      <c r="HC501" s="65"/>
      <c r="HD501" s="26"/>
      <c r="HE501" s="26"/>
      <c r="HF501" s="26"/>
      <c r="HG501" s="26"/>
      <c r="HH501" s="65"/>
      <c r="HI501" s="26"/>
      <c r="HJ501" s="26"/>
      <c r="HK501" s="25"/>
      <c r="HL501" s="25"/>
    </row>
    <row r="502" spans="1:220" ht="15.75" customHeight="1" x14ac:dyDescent="0.2">
      <c r="A502" s="58">
        <v>43717.425254629627</v>
      </c>
      <c r="B502" s="32">
        <v>593922</v>
      </c>
      <c r="C502" s="70">
        <v>220</v>
      </c>
      <c r="D502" s="81" t="s">
        <v>469</v>
      </c>
      <c r="E502" s="32">
        <f t="shared" si="17"/>
        <v>0</v>
      </c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8"/>
      <c r="FW502" s="28"/>
      <c r="FX502" s="28"/>
      <c r="FY502" s="26"/>
      <c r="FZ502" s="26"/>
      <c r="GA502" s="26"/>
      <c r="GB502" s="26"/>
      <c r="GC502" s="26">
        <v>97</v>
      </c>
      <c r="GD502" s="26">
        <v>123</v>
      </c>
      <c r="GE502" s="26"/>
      <c r="GF502" s="26"/>
      <c r="GG502" s="26"/>
      <c r="GH502" s="26"/>
      <c r="GI502" s="26"/>
      <c r="GJ502" s="26"/>
      <c r="GK502" s="26"/>
      <c r="GL502" s="65"/>
      <c r="GM502" s="26"/>
      <c r="GN502" s="26"/>
      <c r="GO502" s="26"/>
      <c r="GP502" s="26"/>
      <c r="GQ502" s="26"/>
      <c r="GR502" s="26"/>
      <c r="GS502" s="64"/>
      <c r="GT502" s="26"/>
      <c r="GU502" s="26"/>
      <c r="GV502" s="26"/>
      <c r="GW502" s="26"/>
      <c r="GX502" s="64"/>
      <c r="GY502" s="26"/>
      <c r="GZ502" s="26"/>
      <c r="HA502" s="26"/>
      <c r="HB502" s="26"/>
      <c r="HC502" s="65"/>
      <c r="HD502" s="26"/>
      <c r="HE502" s="26"/>
      <c r="HF502" s="26"/>
      <c r="HG502" s="26"/>
      <c r="HH502" s="65"/>
      <c r="HI502" s="26"/>
      <c r="HJ502" s="26"/>
      <c r="HK502" s="25"/>
      <c r="HL502" s="25"/>
    </row>
    <row r="503" spans="1:220" ht="15.75" customHeight="1" x14ac:dyDescent="0.2">
      <c r="A503" s="58">
        <v>43717.425254629627</v>
      </c>
      <c r="B503" s="32">
        <v>593922</v>
      </c>
      <c r="C503" s="70">
        <v>200</v>
      </c>
      <c r="D503" s="81" t="s">
        <v>470</v>
      </c>
      <c r="E503" s="32">
        <f t="shared" si="17"/>
        <v>0</v>
      </c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8"/>
      <c r="FW503" s="28"/>
      <c r="FX503" s="28"/>
      <c r="FY503" s="26"/>
      <c r="FZ503" s="26"/>
      <c r="GA503" s="26"/>
      <c r="GB503" s="26"/>
      <c r="GC503" s="26">
        <v>90</v>
      </c>
      <c r="GD503" s="26">
        <v>110</v>
      </c>
      <c r="GE503" s="26"/>
      <c r="GF503" s="26"/>
      <c r="GG503" s="26"/>
      <c r="GH503" s="26"/>
      <c r="GI503" s="26"/>
      <c r="GJ503" s="26"/>
      <c r="GK503" s="26"/>
      <c r="GL503" s="65"/>
      <c r="GM503" s="26"/>
      <c r="GN503" s="26"/>
      <c r="GO503" s="26"/>
      <c r="GP503" s="26"/>
      <c r="GQ503" s="26"/>
      <c r="GR503" s="26"/>
      <c r="GS503" s="64"/>
      <c r="GT503" s="26"/>
      <c r="GU503" s="26"/>
      <c r="GV503" s="26"/>
      <c r="GW503" s="26"/>
      <c r="GX503" s="64"/>
      <c r="GY503" s="26"/>
      <c r="GZ503" s="26"/>
      <c r="HA503" s="26"/>
      <c r="HB503" s="26"/>
      <c r="HC503" s="65"/>
      <c r="HD503" s="26"/>
      <c r="HE503" s="26"/>
      <c r="HF503" s="26"/>
      <c r="HG503" s="26"/>
      <c r="HH503" s="65"/>
      <c r="HI503" s="26"/>
      <c r="HJ503" s="26"/>
      <c r="HK503" s="25"/>
      <c r="HL503" s="25"/>
    </row>
    <row r="504" spans="1:220" ht="15.75" customHeight="1" x14ac:dyDescent="0.2">
      <c r="A504" s="58">
        <v>43717.425254629627</v>
      </c>
      <c r="B504" s="32">
        <v>593922</v>
      </c>
      <c r="C504" s="70">
        <v>210</v>
      </c>
      <c r="D504" s="81" t="s">
        <v>471</v>
      </c>
      <c r="E504" s="32">
        <f t="shared" si="17"/>
        <v>0</v>
      </c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8"/>
      <c r="FW504" s="28"/>
      <c r="FX504" s="28"/>
      <c r="FY504" s="26"/>
      <c r="FZ504" s="26"/>
      <c r="GA504" s="26"/>
      <c r="GB504" s="26"/>
      <c r="GC504" s="26">
        <v>84</v>
      </c>
      <c r="GD504" s="26">
        <v>126</v>
      </c>
      <c r="GE504" s="26"/>
      <c r="GF504" s="26"/>
      <c r="GG504" s="26"/>
      <c r="GH504" s="26"/>
      <c r="GI504" s="26"/>
      <c r="GJ504" s="26"/>
      <c r="GK504" s="26"/>
      <c r="GL504" s="65"/>
      <c r="GM504" s="26"/>
      <c r="GN504" s="26"/>
      <c r="GO504" s="26"/>
      <c r="GP504" s="26"/>
      <c r="GQ504" s="26"/>
      <c r="GR504" s="26"/>
      <c r="GS504" s="64"/>
      <c r="GT504" s="26"/>
      <c r="GU504" s="26"/>
      <c r="GV504" s="26"/>
      <c r="GW504" s="26"/>
      <c r="GX504" s="64"/>
      <c r="GY504" s="26"/>
      <c r="GZ504" s="26"/>
      <c r="HA504" s="26"/>
      <c r="HB504" s="26"/>
      <c r="HC504" s="65"/>
      <c r="HD504" s="26"/>
      <c r="HE504" s="26"/>
      <c r="HF504" s="26"/>
      <c r="HG504" s="26"/>
      <c r="HH504" s="65"/>
      <c r="HI504" s="26"/>
      <c r="HJ504" s="26"/>
      <c r="HK504" s="25"/>
      <c r="HL504" s="25"/>
    </row>
    <row r="505" spans="1:220" ht="15.75" customHeight="1" x14ac:dyDescent="0.2">
      <c r="A505" s="58">
        <v>43717.425254629627</v>
      </c>
      <c r="B505" s="32">
        <v>593922</v>
      </c>
      <c r="C505" s="70">
        <v>180</v>
      </c>
      <c r="D505" s="81" t="s">
        <v>472</v>
      </c>
      <c r="E505" s="32">
        <f t="shared" si="17"/>
        <v>0</v>
      </c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8"/>
      <c r="FW505" s="28"/>
      <c r="FX505" s="28"/>
      <c r="FY505" s="26"/>
      <c r="FZ505" s="26"/>
      <c r="GA505" s="26"/>
      <c r="GB505" s="26"/>
      <c r="GC505" s="26">
        <v>63</v>
      </c>
      <c r="GD505" s="26">
        <v>117</v>
      </c>
      <c r="GE505" s="26"/>
      <c r="GF505" s="26"/>
      <c r="GG505" s="26"/>
      <c r="GH505" s="26"/>
      <c r="GI505" s="26"/>
      <c r="GJ505" s="26"/>
      <c r="GK505" s="26"/>
      <c r="GL505" s="65"/>
      <c r="GM505" s="26"/>
      <c r="GN505" s="26"/>
      <c r="GO505" s="26"/>
      <c r="GP505" s="26"/>
      <c r="GQ505" s="26"/>
      <c r="GR505" s="26"/>
      <c r="GS505" s="64"/>
      <c r="GT505" s="26"/>
      <c r="GU505" s="26"/>
      <c r="GV505" s="26"/>
      <c r="GW505" s="26"/>
      <c r="GX505" s="64"/>
      <c r="GY505" s="26"/>
      <c r="GZ505" s="26"/>
      <c r="HA505" s="26"/>
      <c r="HB505" s="26"/>
      <c r="HC505" s="65"/>
      <c r="HD505" s="26"/>
      <c r="HE505" s="26"/>
      <c r="HF505" s="26"/>
      <c r="HG505" s="26"/>
      <c r="HH505" s="65"/>
      <c r="HI505" s="26"/>
      <c r="HJ505" s="26"/>
      <c r="HK505" s="25"/>
      <c r="HL505" s="25"/>
    </row>
    <row r="506" spans="1:220" ht="15.75" customHeight="1" x14ac:dyDescent="0.2">
      <c r="A506" s="58">
        <v>43717.425254629627</v>
      </c>
      <c r="B506" s="32">
        <v>593922</v>
      </c>
      <c r="C506" s="70">
        <v>190</v>
      </c>
      <c r="D506" s="81" t="s">
        <v>473</v>
      </c>
      <c r="E506" s="32">
        <f t="shared" si="17"/>
        <v>0</v>
      </c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8"/>
      <c r="FW506" s="28"/>
      <c r="FX506" s="28"/>
      <c r="FY506" s="26"/>
      <c r="FZ506" s="26"/>
      <c r="GA506" s="26"/>
      <c r="GB506" s="26"/>
      <c r="GC506" s="26">
        <v>119</v>
      </c>
      <c r="GD506" s="26">
        <v>71</v>
      </c>
      <c r="GE506" s="26"/>
      <c r="GF506" s="26"/>
      <c r="GG506" s="26"/>
      <c r="GH506" s="26"/>
      <c r="GI506" s="26"/>
      <c r="GJ506" s="26"/>
      <c r="GK506" s="26"/>
      <c r="GL506" s="65"/>
      <c r="GM506" s="26"/>
      <c r="GN506" s="26"/>
      <c r="GO506" s="26"/>
      <c r="GP506" s="26"/>
      <c r="GQ506" s="26"/>
      <c r="GR506" s="26"/>
      <c r="GS506" s="64"/>
      <c r="GT506" s="26"/>
      <c r="GU506" s="26"/>
      <c r="GV506" s="26"/>
      <c r="GW506" s="26"/>
      <c r="GX506" s="64"/>
      <c r="GY506" s="26"/>
      <c r="GZ506" s="26"/>
      <c r="HA506" s="26"/>
      <c r="HB506" s="26"/>
      <c r="HC506" s="65"/>
      <c r="HD506" s="26"/>
      <c r="HE506" s="26"/>
      <c r="HF506" s="26"/>
      <c r="HG506" s="26"/>
      <c r="HH506" s="65"/>
      <c r="HI506" s="26"/>
      <c r="HJ506" s="26"/>
      <c r="HK506" s="25"/>
      <c r="HL506" s="25"/>
    </row>
    <row r="507" spans="1:220" ht="15.75" customHeight="1" x14ac:dyDescent="0.2">
      <c r="A507" s="58">
        <v>43714.204895833333</v>
      </c>
      <c r="B507" s="32">
        <v>593477</v>
      </c>
      <c r="C507" s="70">
        <v>110</v>
      </c>
      <c r="D507" s="81" t="s">
        <v>549</v>
      </c>
      <c r="E507" s="32">
        <f t="shared" si="17"/>
        <v>0</v>
      </c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8"/>
      <c r="FW507" s="28"/>
      <c r="FX507" s="28"/>
      <c r="FY507" s="26"/>
      <c r="FZ507" s="26"/>
      <c r="GA507" s="26"/>
      <c r="GB507" s="26"/>
      <c r="GC507" s="26"/>
      <c r="GD507" s="26"/>
      <c r="GE507" s="26"/>
      <c r="GF507" s="26"/>
      <c r="GG507" s="26">
        <v>110</v>
      </c>
      <c r="GH507" s="26"/>
      <c r="GI507" s="26"/>
      <c r="GJ507" s="26"/>
      <c r="GK507" s="26"/>
      <c r="GL507" s="65"/>
      <c r="GM507" s="26"/>
      <c r="GN507" s="26"/>
      <c r="GO507" s="26"/>
      <c r="GP507" s="26"/>
      <c r="GQ507" s="26"/>
      <c r="GR507" s="26"/>
      <c r="GS507" s="64"/>
      <c r="GT507" s="26"/>
      <c r="GU507" s="26"/>
      <c r="GV507" s="26"/>
      <c r="GW507" s="26"/>
      <c r="GX507" s="64"/>
      <c r="GY507" s="26"/>
      <c r="GZ507" s="26"/>
      <c r="HA507" s="26"/>
      <c r="HB507" s="26"/>
      <c r="HC507" s="65"/>
      <c r="HD507" s="26"/>
      <c r="HE507" s="26"/>
      <c r="HF507" s="26"/>
      <c r="HG507" s="26"/>
      <c r="HH507" s="65"/>
      <c r="HI507" s="26"/>
      <c r="HJ507" s="26"/>
      <c r="HK507" s="25"/>
      <c r="HL507" s="25"/>
    </row>
    <row r="508" spans="1:220" ht="15.75" customHeight="1" x14ac:dyDescent="0.2">
      <c r="A508" s="58">
        <v>43714.204895833333</v>
      </c>
      <c r="B508" s="32">
        <v>593477</v>
      </c>
      <c r="C508" s="70">
        <v>120</v>
      </c>
      <c r="D508" s="81" t="s">
        <v>550</v>
      </c>
      <c r="E508" s="32">
        <f t="shared" si="17"/>
        <v>0</v>
      </c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  <c r="FJ508" s="25"/>
      <c r="FK508" s="25"/>
      <c r="FL508" s="25"/>
      <c r="FM508" s="25"/>
      <c r="FN508" s="25"/>
      <c r="FO508" s="25"/>
      <c r="FP508" s="25"/>
      <c r="FQ508" s="25"/>
      <c r="FR508" s="25"/>
      <c r="FS508" s="25"/>
      <c r="FT508" s="25"/>
      <c r="FU508" s="25"/>
      <c r="FV508" s="28"/>
      <c r="FW508" s="28"/>
      <c r="FX508" s="28"/>
      <c r="FY508" s="26"/>
      <c r="FZ508" s="26"/>
      <c r="GA508" s="26"/>
      <c r="GB508" s="26"/>
      <c r="GC508" s="26"/>
      <c r="GD508" s="26"/>
      <c r="GE508" s="26"/>
      <c r="GF508" s="26"/>
      <c r="GG508" s="26">
        <v>120</v>
      </c>
      <c r="GH508" s="26"/>
      <c r="GI508" s="26"/>
      <c r="GJ508" s="26"/>
      <c r="GK508" s="26"/>
      <c r="GL508" s="65"/>
      <c r="GM508" s="26"/>
      <c r="GN508" s="26"/>
      <c r="GO508" s="26"/>
      <c r="GP508" s="26"/>
      <c r="GQ508" s="26"/>
      <c r="GR508" s="26"/>
      <c r="GS508" s="64"/>
      <c r="GT508" s="26"/>
      <c r="GU508" s="26"/>
      <c r="GV508" s="26"/>
      <c r="GW508" s="26"/>
      <c r="GX508" s="64"/>
      <c r="GY508" s="26"/>
      <c r="GZ508" s="26"/>
      <c r="HA508" s="26"/>
      <c r="HB508" s="26"/>
      <c r="HC508" s="65"/>
      <c r="HD508" s="26"/>
      <c r="HE508" s="26"/>
      <c r="HF508" s="26"/>
      <c r="HG508" s="26"/>
      <c r="HH508" s="65"/>
      <c r="HI508" s="26"/>
      <c r="HJ508" s="26"/>
      <c r="HK508" s="25"/>
      <c r="HL508" s="25"/>
    </row>
    <row r="509" spans="1:220" ht="15.75" customHeight="1" x14ac:dyDescent="0.2">
      <c r="A509" s="58">
        <v>43714.204895833333</v>
      </c>
      <c r="B509" s="32">
        <v>593477</v>
      </c>
      <c r="C509" s="70">
        <v>90</v>
      </c>
      <c r="D509" s="81" t="s">
        <v>551</v>
      </c>
      <c r="E509" s="32">
        <f t="shared" ref="E509:E572" si="18">C509-SUM(AN509:HK509)</f>
        <v>0</v>
      </c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8"/>
      <c r="FW509" s="28"/>
      <c r="FX509" s="28"/>
      <c r="FY509" s="26"/>
      <c r="FZ509" s="26"/>
      <c r="GA509" s="26"/>
      <c r="GB509" s="26"/>
      <c r="GC509" s="26"/>
      <c r="GD509" s="26"/>
      <c r="GE509" s="26"/>
      <c r="GF509" s="26"/>
      <c r="GG509" s="26">
        <v>90</v>
      </c>
      <c r="GH509" s="26"/>
      <c r="GI509" s="26"/>
      <c r="GJ509" s="26"/>
      <c r="GK509" s="26"/>
      <c r="GL509" s="65"/>
      <c r="GM509" s="26"/>
      <c r="GN509" s="26"/>
      <c r="GO509" s="26"/>
      <c r="GP509" s="26"/>
      <c r="GQ509" s="26"/>
      <c r="GR509" s="26"/>
      <c r="GS509" s="64"/>
      <c r="GT509" s="26"/>
      <c r="GU509" s="26"/>
      <c r="GV509" s="26"/>
      <c r="GW509" s="26"/>
      <c r="GX509" s="64"/>
      <c r="GY509" s="26"/>
      <c r="GZ509" s="26"/>
      <c r="HA509" s="26"/>
      <c r="HB509" s="26"/>
      <c r="HC509" s="65"/>
      <c r="HD509" s="26"/>
      <c r="HE509" s="26"/>
      <c r="HF509" s="26"/>
      <c r="HG509" s="26"/>
      <c r="HH509" s="65"/>
      <c r="HI509" s="26"/>
      <c r="HJ509" s="26"/>
      <c r="HK509" s="25"/>
      <c r="HL509" s="25"/>
    </row>
    <row r="510" spans="1:220" ht="15.75" customHeight="1" x14ac:dyDescent="0.2">
      <c r="A510" s="58">
        <v>43714.204895833333</v>
      </c>
      <c r="B510" s="32">
        <v>593477</v>
      </c>
      <c r="C510" s="70">
        <v>90</v>
      </c>
      <c r="D510" s="81" t="s">
        <v>552</v>
      </c>
      <c r="E510" s="32">
        <f t="shared" si="18"/>
        <v>0</v>
      </c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  <c r="FJ510" s="25"/>
      <c r="FK510" s="25"/>
      <c r="FL510" s="25"/>
      <c r="FM510" s="25"/>
      <c r="FN510" s="25"/>
      <c r="FO510" s="25"/>
      <c r="FP510" s="25"/>
      <c r="FQ510" s="25"/>
      <c r="FR510" s="25"/>
      <c r="FS510" s="25"/>
      <c r="FT510" s="25"/>
      <c r="FU510" s="25"/>
      <c r="FV510" s="28"/>
      <c r="FW510" s="28"/>
      <c r="FX510" s="28"/>
      <c r="FY510" s="26"/>
      <c r="FZ510" s="26"/>
      <c r="GA510" s="26"/>
      <c r="GB510" s="26"/>
      <c r="GC510" s="26"/>
      <c r="GD510" s="26"/>
      <c r="GE510" s="26"/>
      <c r="GF510" s="26">
        <v>10</v>
      </c>
      <c r="GG510" s="26">
        <v>80</v>
      </c>
      <c r="GH510" s="26"/>
      <c r="GI510" s="26"/>
      <c r="GJ510" s="26"/>
      <c r="GK510" s="26"/>
      <c r="GL510" s="65"/>
      <c r="GM510" s="26"/>
      <c r="GN510" s="26"/>
      <c r="GO510" s="26"/>
      <c r="GP510" s="26"/>
      <c r="GQ510" s="26"/>
      <c r="GR510" s="26"/>
      <c r="GS510" s="64"/>
      <c r="GT510" s="26"/>
      <c r="GU510" s="26"/>
      <c r="GV510" s="26"/>
      <c r="GW510" s="26"/>
      <c r="GX510" s="64"/>
      <c r="GY510" s="26"/>
      <c r="GZ510" s="26"/>
      <c r="HA510" s="26"/>
      <c r="HB510" s="26"/>
      <c r="HC510" s="65"/>
      <c r="HD510" s="26"/>
      <c r="HE510" s="26"/>
      <c r="HF510" s="26"/>
      <c r="HG510" s="26"/>
      <c r="HH510" s="65"/>
      <c r="HI510" s="26"/>
      <c r="HJ510" s="26"/>
      <c r="HK510" s="25"/>
      <c r="HL510" s="25"/>
    </row>
    <row r="511" spans="1:220" ht="15.75" customHeight="1" x14ac:dyDescent="0.2">
      <c r="A511" s="58">
        <v>43713.539386574077</v>
      </c>
      <c r="B511" s="32">
        <v>593376</v>
      </c>
      <c r="C511" s="70">
        <v>120</v>
      </c>
      <c r="D511" s="81" t="s">
        <v>553</v>
      </c>
      <c r="E511" s="32">
        <f t="shared" si="18"/>
        <v>0</v>
      </c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  <c r="FJ511" s="25"/>
      <c r="FK511" s="25"/>
      <c r="FL511" s="25"/>
      <c r="FM511" s="25"/>
      <c r="FN511" s="25"/>
      <c r="FO511" s="25"/>
      <c r="FP511" s="25"/>
      <c r="FQ511" s="25"/>
      <c r="FR511" s="25"/>
      <c r="FS511" s="25"/>
      <c r="FT511" s="25"/>
      <c r="FU511" s="25"/>
      <c r="FV511" s="28"/>
      <c r="FW511" s="28"/>
      <c r="FX511" s="28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>
        <v>120</v>
      </c>
      <c r="GI511" s="26"/>
      <c r="GJ511" s="26"/>
      <c r="GK511" s="26"/>
      <c r="GL511" s="65"/>
      <c r="GM511" s="26"/>
      <c r="GN511" s="26"/>
      <c r="GO511" s="26"/>
      <c r="GP511" s="26"/>
      <c r="GQ511" s="26"/>
      <c r="GR511" s="26"/>
      <c r="GS511" s="64"/>
      <c r="GT511" s="26"/>
      <c r="GU511" s="26"/>
      <c r="GV511" s="26"/>
      <c r="GW511" s="26"/>
      <c r="GX511" s="64"/>
      <c r="GY511" s="26"/>
      <c r="GZ511" s="26"/>
      <c r="HA511" s="26"/>
      <c r="HB511" s="26"/>
      <c r="HC511" s="65"/>
      <c r="HD511" s="26"/>
      <c r="HE511" s="26"/>
      <c r="HF511" s="26"/>
      <c r="HG511" s="26"/>
      <c r="HH511" s="65"/>
      <c r="HI511" s="26"/>
      <c r="HJ511" s="26"/>
      <c r="HK511" s="25"/>
      <c r="HL511" s="25"/>
    </row>
    <row r="512" spans="1:220" ht="15.75" customHeight="1" x14ac:dyDescent="0.2">
      <c r="A512" s="58">
        <v>43713.539386574077</v>
      </c>
      <c r="B512" s="32">
        <v>593376</v>
      </c>
      <c r="C512" s="70">
        <v>80</v>
      </c>
      <c r="D512" s="81" t="s">
        <v>554</v>
      </c>
      <c r="E512" s="32">
        <f t="shared" si="18"/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  <c r="FJ512" s="25"/>
      <c r="FK512" s="25"/>
      <c r="FL512" s="25"/>
      <c r="FM512" s="25"/>
      <c r="FN512" s="25"/>
      <c r="FO512" s="25"/>
      <c r="FP512" s="25"/>
      <c r="FQ512" s="25"/>
      <c r="FR512" s="25"/>
      <c r="FS512" s="25"/>
      <c r="FT512" s="25"/>
      <c r="FU512" s="25"/>
      <c r="FV512" s="28"/>
      <c r="FW512" s="28"/>
      <c r="FX512" s="28"/>
      <c r="FY512" s="26"/>
      <c r="FZ512" s="26"/>
      <c r="GA512" s="26"/>
      <c r="GB512" s="26"/>
      <c r="GC512" s="26"/>
      <c r="GD512" s="26"/>
      <c r="GE512" s="26"/>
      <c r="GF512" s="26"/>
      <c r="GG512" s="26"/>
      <c r="GH512" s="26">
        <v>80</v>
      </c>
      <c r="GI512" s="26"/>
      <c r="GJ512" s="26"/>
      <c r="GK512" s="26"/>
      <c r="GL512" s="65"/>
      <c r="GM512" s="26"/>
      <c r="GN512" s="26"/>
      <c r="GO512" s="26"/>
      <c r="GP512" s="26"/>
      <c r="GQ512" s="26"/>
      <c r="GR512" s="26"/>
      <c r="GS512" s="64"/>
      <c r="GT512" s="26"/>
      <c r="GU512" s="26"/>
      <c r="GV512" s="26"/>
      <c r="GW512" s="26"/>
      <c r="GX512" s="64"/>
      <c r="GY512" s="26"/>
      <c r="GZ512" s="26"/>
      <c r="HA512" s="26"/>
      <c r="HB512" s="26"/>
      <c r="HC512" s="65"/>
      <c r="HD512" s="26"/>
      <c r="HE512" s="26"/>
      <c r="HF512" s="26"/>
      <c r="HG512" s="26"/>
      <c r="HH512" s="65"/>
      <c r="HI512" s="26"/>
      <c r="HJ512" s="26"/>
      <c r="HK512" s="25"/>
      <c r="HL512" s="25"/>
    </row>
    <row r="513" spans="1:220" ht="15.75" customHeight="1" x14ac:dyDescent="0.2">
      <c r="A513" s="58">
        <v>43713.433344907404</v>
      </c>
      <c r="B513" s="32">
        <v>593355</v>
      </c>
      <c r="C513" s="70">
        <v>110</v>
      </c>
      <c r="D513" s="81" t="s">
        <v>555</v>
      </c>
      <c r="E513" s="32">
        <f t="shared" si="18"/>
        <v>0</v>
      </c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  <c r="FJ513" s="25"/>
      <c r="FK513" s="25"/>
      <c r="FL513" s="25"/>
      <c r="FM513" s="25"/>
      <c r="FN513" s="25"/>
      <c r="FO513" s="25"/>
      <c r="FP513" s="25"/>
      <c r="FQ513" s="25"/>
      <c r="FR513" s="25"/>
      <c r="FS513" s="25"/>
      <c r="FT513" s="25"/>
      <c r="FU513" s="25"/>
      <c r="FV513" s="28"/>
      <c r="FW513" s="28"/>
      <c r="FX513" s="28"/>
      <c r="FY513" s="26"/>
      <c r="FZ513" s="26"/>
      <c r="GA513" s="26"/>
      <c r="GB513" s="26"/>
      <c r="GC513" s="26"/>
      <c r="GD513" s="26"/>
      <c r="GE513" s="26"/>
      <c r="GF513" s="26"/>
      <c r="GG513" s="26"/>
      <c r="GH513" s="26">
        <v>110</v>
      </c>
      <c r="GI513" s="26"/>
      <c r="GJ513" s="26"/>
      <c r="GK513" s="26"/>
      <c r="GL513" s="65"/>
      <c r="GM513" s="26"/>
      <c r="GN513" s="26"/>
      <c r="GO513" s="26"/>
      <c r="GP513" s="26"/>
      <c r="GQ513" s="26"/>
      <c r="GR513" s="26"/>
      <c r="GS513" s="64"/>
      <c r="GT513" s="26"/>
      <c r="GU513" s="26"/>
      <c r="GV513" s="26"/>
      <c r="GW513" s="26"/>
      <c r="GX513" s="64"/>
      <c r="GY513" s="26"/>
      <c r="GZ513" s="26"/>
      <c r="HA513" s="26"/>
      <c r="HB513" s="26"/>
      <c r="HC513" s="65"/>
      <c r="HD513" s="26"/>
      <c r="HE513" s="26"/>
      <c r="HF513" s="26"/>
      <c r="HG513" s="26"/>
      <c r="HH513" s="65"/>
      <c r="HI513" s="26"/>
      <c r="HJ513" s="26"/>
      <c r="HK513" s="25"/>
      <c r="HL513" s="25"/>
    </row>
    <row r="514" spans="1:220" ht="15.75" customHeight="1" x14ac:dyDescent="0.2">
      <c r="A514" s="58">
        <v>43713.433344907404</v>
      </c>
      <c r="B514" s="32">
        <v>593355</v>
      </c>
      <c r="C514" s="70">
        <v>90</v>
      </c>
      <c r="D514" s="81" t="s">
        <v>528</v>
      </c>
      <c r="E514" s="32">
        <f t="shared" si="18"/>
        <v>0</v>
      </c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8"/>
      <c r="FW514" s="28"/>
      <c r="FX514" s="28"/>
      <c r="FY514" s="26"/>
      <c r="FZ514" s="26"/>
      <c r="GA514" s="26"/>
      <c r="GB514" s="26"/>
      <c r="GC514" s="26"/>
      <c r="GD514" s="26"/>
      <c r="GE514" s="26"/>
      <c r="GF514" s="26"/>
      <c r="GG514" s="26"/>
      <c r="GH514" s="26">
        <v>90</v>
      </c>
      <c r="GI514" s="26"/>
      <c r="GJ514" s="26"/>
      <c r="GK514" s="26"/>
      <c r="GL514" s="65"/>
      <c r="GM514" s="26"/>
      <c r="GN514" s="26"/>
      <c r="GO514" s="26"/>
      <c r="GP514" s="26"/>
      <c r="GQ514" s="26"/>
      <c r="GR514" s="26"/>
      <c r="GS514" s="64"/>
      <c r="GT514" s="26"/>
      <c r="GU514" s="26"/>
      <c r="GV514" s="26"/>
      <c r="GW514" s="26"/>
      <c r="GX514" s="64"/>
      <c r="GY514" s="26"/>
      <c r="GZ514" s="26"/>
      <c r="HA514" s="26"/>
      <c r="HB514" s="26"/>
      <c r="HC514" s="65"/>
      <c r="HD514" s="26"/>
      <c r="HE514" s="26"/>
      <c r="HF514" s="26"/>
      <c r="HG514" s="26"/>
      <c r="HH514" s="65"/>
      <c r="HI514" s="26"/>
      <c r="HJ514" s="26"/>
      <c r="HK514" s="25"/>
      <c r="HL514" s="25"/>
    </row>
    <row r="515" spans="1:220" ht="15.75" customHeight="1" x14ac:dyDescent="0.2">
      <c r="A515" s="58">
        <v>43713.20957175926</v>
      </c>
      <c r="B515" s="32">
        <v>593309</v>
      </c>
      <c r="C515" s="70">
        <v>100</v>
      </c>
      <c r="D515" s="81" t="s">
        <v>556</v>
      </c>
      <c r="E515" s="32">
        <f t="shared" si="18"/>
        <v>0</v>
      </c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8"/>
      <c r="FW515" s="28"/>
      <c r="FX515" s="28"/>
      <c r="FY515" s="26"/>
      <c r="FZ515" s="26"/>
      <c r="GA515" s="26"/>
      <c r="GB515" s="26"/>
      <c r="GC515" s="26"/>
      <c r="GD515" s="26"/>
      <c r="GE515" s="26"/>
      <c r="GF515" s="26"/>
      <c r="GG515" s="26"/>
      <c r="GH515" s="26">
        <v>100</v>
      </c>
      <c r="GI515" s="26"/>
      <c r="GJ515" s="26"/>
      <c r="GK515" s="26"/>
      <c r="GL515" s="65"/>
      <c r="GM515" s="26"/>
      <c r="GN515" s="26"/>
      <c r="GO515" s="26"/>
      <c r="GP515" s="26"/>
      <c r="GQ515" s="26"/>
      <c r="GR515" s="26"/>
      <c r="GS515" s="64"/>
      <c r="GT515" s="26"/>
      <c r="GU515" s="26"/>
      <c r="GV515" s="26"/>
      <c r="GW515" s="26"/>
      <c r="GX515" s="64"/>
      <c r="GY515" s="26"/>
      <c r="GZ515" s="26"/>
      <c r="HA515" s="26"/>
      <c r="HB515" s="26"/>
      <c r="HC515" s="65"/>
      <c r="HD515" s="26"/>
      <c r="HE515" s="26"/>
      <c r="HF515" s="26"/>
      <c r="HG515" s="26"/>
      <c r="HH515" s="65"/>
      <c r="HI515" s="26"/>
      <c r="HJ515" s="26"/>
      <c r="HK515" s="25"/>
      <c r="HL515" s="25"/>
    </row>
    <row r="516" spans="1:220" ht="15.75" customHeight="1" x14ac:dyDescent="0.2">
      <c r="A516" s="58">
        <v>43713.20957175926</v>
      </c>
      <c r="B516" s="32">
        <v>593309</v>
      </c>
      <c r="C516" s="70">
        <v>100</v>
      </c>
      <c r="D516" s="81" t="s">
        <v>557</v>
      </c>
      <c r="E516" s="32">
        <f t="shared" si="18"/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8"/>
      <c r="FW516" s="28"/>
      <c r="FX516" s="28"/>
      <c r="FY516" s="26"/>
      <c r="FZ516" s="26"/>
      <c r="GA516" s="26"/>
      <c r="GB516" s="26"/>
      <c r="GC516" s="26"/>
      <c r="GD516" s="26"/>
      <c r="GE516" s="26"/>
      <c r="GF516" s="26"/>
      <c r="GG516" s="26"/>
      <c r="GH516" s="26">
        <v>100</v>
      </c>
      <c r="GI516" s="26"/>
      <c r="GJ516" s="26"/>
      <c r="GK516" s="26"/>
      <c r="GL516" s="65"/>
      <c r="GM516" s="26"/>
      <c r="GN516" s="26"/>
      <c r="GO516" s="26"/>
      <c r="GP516" s="26"/>
      <c r="GQ516" s="26"/>
      <c r="GR516" s="26"/>
      <c r="GS516" s="64"/>
      <c r="GT516" s="26"/>
      <c r="GU516" s="26"/>
      <c r="GV516" s="26"/>
      <c r="GW516" s="26"/>
      <c r="GX516" s="64"/>
      <c r="GY516" s="26"/>
      <c r="GZ516" s="26"/>
      <c r="HA516" s="26"/>
      <c r="HB516" s="26"/>
      <c r="HC516" s="65"/>
      <c r="HD516" s="26"/>
      <c r="HE516" s="26"/>
      <c r="HF516" s="26"/>
      <c r="HG516" s="26"/>
      <c r="HH516" s="65"/>
      <c r="HI516" s="26"/>
      <c r="HJ516" s="26"/>
      <c r="HK516" s="25"/>
      <c r="HL516" s="25"/>
    </row>
    <row r="517" spans="1:220" ht="15.75" customHeight="1" x14ac:dyDescent="0.2">
      <c r="A517" s="58">
        <v>43713.20957175926</v>
      </c>
      <c r="B517" s="32">
        <v>593309</v>
      </c>
      <c r="C517" s="70">
        <v>100</v>
      </c>
      <c r="D517" s="81" t="s">
        <v>558</v>
      </c>
      <c r="E517" s="32">
        <f t="shared" si="18"/>
        <v>0</v>
      </c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8"/>
      <c r="FW517" s="28"/>
      <c r="FX517" s="28"/>
      <c r="FY517" s="26"/>
      <c r="FZ517" s="26"/>
      <c r="GA517" s="26"/>
      <c r="GB517" s="26"/>
      <c r="GC517" s="26"/>
      <c r="GD517" s="26"/>
      <c r="GE517" s="26"/>
      <c r="GF517" s="26"/>
      <c r="GG517" s="26"/>
      <c r="GH517" s="26">
        <v>100</v>
      </c>
      <c r="GI517" s="26"/>
      <c r="GJ517" s="26"/>
      <c r="GK517" s="26"/>
      <c r="GL517" s="65"/>
      <c r="GM517" s="26"/>
      <c r="GN517" s="26"/>
      <c r="GO517" s="26"/>
      <c r="GP517" s="26"/>
      <c r="GQ517" s="26"/>
      <c r="GR517" s="26"/>
      <c r="GS517" s="64"/>
      <c r="GT517" s="26"/>
      <c r="GU517" s="26"/>
      <c r="GV517" s="26"/>
      <c r="GW517" s="26"/>
      <c r="GX517" s="64"/>
      <c r="GY517" s="26"/>
      <c r="GZ517" s="26"/>
      <c r="HA517" s="26"/>
      <c r="HB517" s="26"/>
      <c r="HC517" s="65"/>
      <c r="HD517" s="26"/>
      <c r="HE517" s="26"/>
      <c r="HF517" s="26"/>
      <c r="HG517" s="26"/>
      <c r="HH517" s="65"/>
      <c r="HI517" s="26"/>
      <c r="HJ517" s="26"/>
      <c r="HK517" s="25"/>
      <c r="HL517" s="25"/>
    </row>
    <row r="518" spans="1:220" ht="15.75" customHeight="1" x14ac:dyDescent="0.2">
      <c r="A518" s="58">
        <v>43713.20957175926</v>
      </c>
      <c r="B518" s="32">
        <v>593309</v>
      </c>
      <c r="C518" s="70">
        <v>100</v>
      </c>
      <c r="D518" s="81" t="s">
        <v>559</v>
      </c>
      <c r="E518" s="32">
        <f t="shared" si="18"/>
        <v>0</v>
      </c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8"/>
      <c r="FW518" s="28"/>
      <c r="FX518" s="28"/>
      <c r="FY518" s="26"/>
      <c r="FZ518" s="26"/>
      <c r="GA518" s="26"/>
      <c r="GB518" s="26"/>
      <c r="GC518" s="26"/>
      <c r="GD518" s="26"/>
      <c r="GE518" s="26"/>
      <c r="GF518" s="26"/>
      <c r="GG518" s="26"/>
      <c r="GH518" s="26">
        <v>100</v>
      </c>
      <c r="GI518" s="26"/>
      <c r="GJ518" s="26"/>
      <c r="GK518" s="26"/>
      <c r="GL518" s="65"/>
      <c r="GM518" s="26"/>
      <c r="GN518" s="26"/>
      <c r="GO518" s="26"/>
      <c r="GP518" s="26"/>
      <c r="GQ518" s="26"/>
      <c r="GR518" s="26"/>
      <c r="GS518" s="64"/>
      <c r="GT518" s="26"/>
      <c r="GU518" s="26"/>
      <c r="GV518" s="26"/>
      <c r="GW518" s="26"/>
      <c r="GX518" s="64"/>
      <c r="GY518" s="26"/>
      <c r="GZ518" s="26"/>
      <c r="HA518" s="26"/>
      <c r="HB518" s="26"/>
      <c r="HC518" s="65"/>
      <c r="HD518" s="26"/>
      <c r="HE518" s="26"/>
      <c r="HF518" s="26"/>
      <c r="HG518" s="26"/>
      <c r="HH518" s="65"/>
      <c r="HI518" s="26"/>
      <c r="HJ518" s="26"/>
      <c r="HK518" s="25"/>
      <c r="HL518" s="25"/>
    </row>
    <row r="519" spans="1:220" ht="15.75" customHeight="1" x14ac:dyDescent="0.2">
      <c r="A519" s="58">
        <v>43713.20957175926</v>
      </c>
      <c r="B519" s="32">
        <v>593309</v>
      </c>
      <c r="C519" s="70">
        <v>100</v>
      </c>
      <c r="D519" s="81" t="s">
        <v>560</v>
      </c>
      <c r="E519" s="32">
        <f t="shared" si="18"/>
        <v>0</v>
      </c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8"/>
      <c r="FW519" s="28"/>
      <c r="FX519" s="28"/>
      <c r="FY519" s="26"/>
      <c r="FZ519" s="26"/>
      <c r="GA519" s="26"/>
      <c r="GB519" s="26"/>
      <c r="GC519" s="26"/>
      <c r="GD519" s="26"/>
      <c r="GE519" s="26"/>
      <c r="GF519" s="26"/>
      <c r="GG519" s="26"/>
      <c r="GH519" s="26">
        <v>100</v>
      </c>
      <c r="GI519" s="26"/>
      <c r="GJ519" s="26"/>
      <c r="GK519" s="26"/>
      <c r="GL519" s="65"/>
      <c r="GM519" s="26"/>
      <c r="GN519" s="26"/>
      <c r="GO519" s="26"/>
      <c r="GP519" s="26"/>
      <c r="GQ519" s="26"/>
      <c r="GR519" s="26"/>
      <c r="GS519" s="64"/>
      <c r="GT519" s="26"/>
      <c r="GU519" s="26"/>
      <c r="GV519" s="26"/>
      <c r="GW519" s="26"/>
      <c r="GX519" s="64"/>
      <c r="GY519" s="26"/>
      <c r="GZ519" s="26"/>
      <c r="HA519" s="26"/>
      <c r="HB519" s="26"/>
      <c r="HC519" s="65"/>
      <c r="HD519" s="26"/>
      <c r="HE519" s="26"/>
      <c r="HF519" s="26"/>
      <c r="HG519" s="26"/>
      <c r="HH519" s="65"/>
      <c r="HI519" s="26"/>
      <c r="HJ519" s="26"/>
      <c r="HK519" s="25"/>
      <c r="HL519" s="25"/>
    </row>
    <row r="520" spans="1:220" ht="15.75" customHeight="1" x14ac:dyDescent="0.2">
      <c r="A520" s="58">
        <v>43713.20957175926</v>
      </c>
      <c r="B520" s="32">
        <v>593309</v>
      </c>
      <c r="C520" s="70">
        <v>100</v>
      </c>
      <c r="D520" s="81" t="s">
        <v>561</v>
      </c>
      <c r="E520" s="32">
        <f t="shared" si="18"/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8"/>
      <c r="FW520" s="28"/>
      <c r="FX520" s="28"/>
      <c r="FY520" s="26"/>
      <c r="FZ520" s="26"/>
      <c r="GA520" s="26"/>
      <c r="GB520" s="26"/>
      <c r="GC520" s="26"/>
      <c r="GD520" s="26"/>
      <c r="GE520" s="26"/>
      <c r="GF520" s="26"/>
      <c r="GG520" s="26"/>
      <c r="GH520" s="26">
        <v>100</v>
      </c>
      <c r="GI520" s="26"/>
      <c r="GJ520" s="26"/>
      <c r="GK520" s="26"/>
      <c r="GL520" s="65"/>
      <c r="GM520" s="26"/>
      <c r="GN520" s="26"/>
      <c r="GO520" s="26"/>
      <c r="GP520" s="26"/>
      <c r="GQ520" s="26"/>
      <c r="GR520" s="26"/>
      <c r="GS520" s="64"/>
      <c r="GT520" s="26"/>
      <c r="GU520" s="26"/>
      <c r="GV520" s="26"/>
      <c r="GW520" s="26"/>
      <c r="GX520" s="64"/>
      <c r="GY520" s="26"/>
      <c r="GZ520" s="26"/>
      <c r="HA520" s="26"/>
      <c r="HB520" s="26"/>
      <c r="HC520" s="65"/>
      <c r="HD520" s="26"/>
      <c r="HE520" s="26"/>
      <c r="HF520" s="26"/>
      <c r="HG520" s="26"/>
      <c r="HH520" s="65"/>
      <c r="HI520" s="26"/>
      <c r="HJ520" s="26"/>
      <c r="HK520" s="25"/>
      <c r="HL520" s="25"/>
    </row>
    <row r="521" spans="1:220" ht="15.75" customHeight="1" x14ac:dyDescent="0.2">
      <c r="A521" s="58">
        <v>43713.20957175926</v>
      </c>
      <c r="B521" s="32">
        <v>593309</v>
      </c>
      <c r="C521" s="70">
        <v>100</v>
      </c>
      <c r="D521" s="81" t="s">
        <v>562</v>
      </c>
      <c r="E521" s="32">
        <f t="shared" si="18"/>
        <v>0</v>
      </c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8"/>
      <c r="FW521" s="28"/>
      <c r="FX521" s="28"/>
      <c r="FY521" s="26"/>
      <c r="FZ521" s="26"/>
      <c r="GA521" s="26"/>
      <c r="GB521" s="26"/>
      <c r="GC521" s="26"/>
      <c r="GD521" s="26"/>
      <c r="GE521" s="26"/>
      <c r="GF521" s="26"/>
      <c r="GG521" s="26"/>
      <c r="GH521" s="26">
        <v>100</v>
      </c>
      <c r="GI521" s="26"/>
      <c r="GJ521" s="26"/>
      <c r="GK521" s="26"/>
      <c r="GL521" s="65"/>
      <c r="GM521" s="26"/>
      <c r="GN521" s="26"/>
      <c r="GO521" s="26"/>
      <c r="GP521" s="26"/>
      <c r="GQ521" s="26"/>
      <c r="GR521" s="26"/>
      <c r="GS521" s="64"/>
      <c r="GT521" s="26"/>
      <c r="GU521" s="26"/>
      <c r="GV521" s="26"/>
      <c r="GW521" s="26"/>
      <c r="GX521" s="64"/>
      <c r="GY521" s="26"/>
      <c r="GZ521" s="26"/>
      <c r="HA521" s="26"/>
      <c r="HB521" s="26"/>
      <c r="HC521" s="65"/>
      <c r="HD521" s="26"/>
      <c r="HE521" s="26"/>
      <c r="HF521" s="26"/>
      <c r="HG521" s="26"/>
      <c r="HH521" s="65"/>
      <c r="HI521" s="26"/>
      <c r="HJ521" s="26"/>
      <c r="HK521" s="25"/>
      <c r="HL521" s="25"/>
    </row>
    <row r="522" spans="1:220" ht="15.75" customHeight="1" x14ac:dyDescent="0.2">
      <c r="A522" s="58">
        <v>43712.380787037036</v>
      </c>
      <c r="B522" s="32">
        <v>593186</v>
      </c>
      <c r="C522" s="70">
        <v>100</v>
      </c>
      <c r="D522" s="81" t="s">
        <v>563</v>
      </c>
      <c r="E522" s="32">
        <f t="shared" si="18"/>
        <v>0</v>
      </c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8"/>
      <c r="FW522" s="28"/>
      <c r="FX522" s="28"/>
      <c r="FY522" s="26"/>
      <c r="FZ522" s="26"/>
      <c r="GA522" s="26"/>
      <c r="GB522" s="26"/>
      <c r="GC522" s="26"/>
      <c r="GD522" s="26"/>
      <c r="GE522" s="26"/>
      <c r="GF522" s="26"/>
      <c r="GG522" s="26"/>
      <c r="GH522" s="26"/>
      <c r="GI522" s="26">
        <v>100</v>
      </c>
      <c r="GJ522" s="26"/>
      <c r="GK522" s="26"/>
      <c r="GL522" s="65"/>
      <c r="GM522" s="26"/>
      <c r="GN522" s="26"/>
      <c r="GO522" s="26"/>
      <c r="GP522" s="26"/>
      <c r="GQ522" s="26"/>
      <c r="GR522" s="26"/>
      <c r="GS522" s="64"/>
      <c r="GT522" s="26"/>
      <c r="GU522" s="26"/>
      <c r="GV522" s="26"/>
      <c r="GW522" s="26"/>
      <c r="GX522" s="64"/>
      <c r="GY522" s="26"/>
      <c r="GZ522" s="26"/>
      <c r="HA522" s="26"/>
      <c r="HB522" s="26"/>
      <c r="HC522" s="65"/>
      <c r="HD522" s="26"/>
      <c r="HE522" s="26"/>
      <c r="HF522" s="26"/>
      <c r="HG522" s="26"/>
      <c r="HH522" s="65"/>
      <c r="HI522" s="26"/>
      <c r="HJ522" s="26"/>
      <c r="HK522" s="25"/>
      <c r="HL522" s="25"/>
    </row>
    <row r="523" spans="1:220" ht="15.75" customHeight="1" x14ac:dyDescent="0.2">
      <c r="A523" s="58">
        <v>43712.128865740742</v>
      </c>
      <c r="B523" s="32">
        <v>593156</v>
      </c>
      <c r="C523" s="70">
        <v>100</v>
      </c>
      <c r="D523" s="81" t="s">
        <v>564</v>
      </c>
      <c r="E523" s="32">
        <f t="shared" si="18"/>
        <v>0</v>
      </c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8"/>
      <c r="FW523" s="28"/>
      <c r="FX523" s="28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>
        <v>100</v>
      </c>
      <c r="GJ523" s="26"/>
      <c r="GK523" s="26"/>
      <c r="GL523" s="65"/>
      <c r="GM523" s="26"/>
      <c r="GN523" s="26"/>
      <c r="GO523" s="26"/>
      <c r="GP523" s="26"/>
      <c r="GQ523" s="26"/>
      <c r="GR523" s="26"/>
      <c r="GS523" s="64"/>
      <c r="GT523" s="26"/>
      <c r="GU523" s="26"/>
      <c r="GV523" s="26"/>
      <c r="GW523" s="26"/>
      <c r="GX523" s="64"/>
      <c r="GY523" s="26"/>
      <c r="GZ523" s="26"/>
      <c r="HA523" s="26"/>
      <c r="HB523" s="26"/>
      <c r="HC523" s="65"/>
      <c r="HD523" s="26"/>
      <c r="HE523" s="26"/>
      <c r="HF523" s="26"/>
      <c r="HG523" s="26"/>
      <c r="HH523" s="65"/>
      <c r="HI523" s="26"/>
      <c r="HJ523" s="26"/>
      <c r="HK523" s="25"/>
      <c r="HL523" s="25"/>
    </row>
    <row r="524" spans="1:220" ht="15.75" customHeight="1" x14ac:dyDescent="0.2">
      <c r="A524" s="58">
        <v>43712.127129629633</v>
      </c>
      <c r="B524" s="32">
        <v>593155</v>
      </c>
      <c r="C524" s="70">
        <v>100</v>
      </c>
      <c r="D524" s="81" t="s">
        <v>565</v>
      </c>
      <c r="E524" s="32">
        <f t="shared" si="18"/>
        <v>0</v>
      </c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8"/>
      <c r="FW524" s="28"/>
      <c r="FX524" s="28"/>
      <c r="FY524" s="26"/>
      <c r="FZ524" s="26"/>
      <c r="GA524" s="26"/>
      <c r="GB524" s="26"/>
      <c r="GC524" s="26"/>
      <c r="GD524" s="26"/>
      <c r="GE524" s="26"/>
      <c r="GF524" s="26"/>
      <c r="GG524" s="26"/>
      <c r="GH524" s="26"/>
      <c r="GI524" s="26">
        <v>100</v>
      </c>
      <c r="GJ524" s="26"/>
      <c r="GK524" s="26"/>
      <c r="GL524" s="65"/>
      <c r="GM524" s="26"/>
      <c r="GN524" s="26"/>
      <c r="GO524" s="26"/>
      <c r="GP524" s="26"/>
      <c r="GQ524" s="26"/>
      <c r="GR524" s="26"/>
      <c r="GS524" s="64"/>
      <c r="GT524" s="26"/>
      <c r="GU524" s="26"/>
      <c r="GV524" s="26"/>
      <c r="GW524" s="26"/>
      <c r="GX524" s="64"/>
      <c r="GY524" s="26"/>
      <c r="GZ524" s="26"/>
      <c r="HA524" s="26"/>
      <c r="HB524" s="26"/>
      <c r="HC524" s="65"/>
      <c r="HD524" s="26"/>
      <c r="HE524" s="26"/>
      <c r="HF524" s="26"/>
      <c r="HG524" s="26"/>
      <c r="HH524" s="65"/>
      <c r="HI524" s="26"/>
      <c r="HJ524" s="26"/>
      <c r="HK524" s="25"/>
      <c r="HL524" s="25"/>
    </row>
    <row r="525" spans="1:220" ht="15.75" customHeight="1" x14ac:dyDescent="0.2">
      <c r="A525" s="58">
        <v>43712.127129629633</v>
      </c>
      <c r="B525" s="32">
        <v>593155</v>
      </c>
      <c r="C525" s="70">
        <v>100</v>
      </c>
      <c r="D525" s="81" t="s">
        <v>566</v>
      </c>
      <c r="E525" s="32">
        <f t="shared" si="18"/>
        <v>0</v>
      </c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8"/>
      <c r="FW525" s="28"/>
      <c r="FX525" s="28"/>
      <c r="FY525" s="26"/>
      <c r="FZ525" s="26"/>
      <c r="GA525" s="26"/>
      <c r="GB525" s="26"/>
      <c r="GC525" s="26"/>
      <c r="GD525" s="26"/>
      <c r="GE525" s="26"/>
      <c r="GF525" s="26"/>
      <c r="GG525" s="26"/>
      <c r="GH525" s="26"/>
      <c r="GI525" s="26">
        <v>100</v>
      </c>
      <c r="GJ525" s="26"/>
      <c r="GK525" s="26"/>
      <c r="GL525" s="65"/>
      <c r="GM525" s="26"/>
      <c r="GN525" s="26"/>
      <c r="GO525" s="26"/>
      <c r="GP525" s="26"/>
      <c r="GQ525" s="26"/>
      <c r="GR525" s="26"/>
      <c r="GS525" s="64"/>
      <c r="GT525" s="26"/>
      <c r="GU525" s="26"/>
      <c r="GV525" s="26"/>
      <c r="GW525" s="26"/>
      <c r="GX525" s="64"/>
      <c r="GY525" s="26"/>
      <c r="GZ525" s="26"/>
      <c r="HA525" s="26"/>
      <c r="HB525" s="26"/>
      <c r="HC525" s="65"/>
      <c r="HD525" s="26"/>
      <c r="HE525" s="26"/>
      <c r="HF525" s="26"/>
      <c r="HG525" s="26"/>
      <c r="HH525" s="65"/>
      <c r="HI525" s="26"/>
      <c r="HJ525" s="26"/>
      <c r="HK525" s="25"/>
      <c r="HL525" s="25"/>
    </row>
    <row r="526" spans="1:220" ht="15.75" customHeight="1" x14ac:dyDescent="0.2">
      <c r="A526" s="58">
        <v>43712.127129629633</v>
      </c>
      <c r="B526" s="32">
        <v>593155</v>
      </c>
      <c r="C526" s="70">
        <v>100</v>
      </c>
      <c r="D526" s="81" t="s">
        <v>567</v>
      </c>
      <c r="E526" s="32">
        <f t="shared" si="18"/>
        <v>0</v>
      </c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8"/>
      <c r="FW526" s="28"/>
      <c r="FX526" s="28"/>
      <c r="FY526" s="26"/>
      <c r="FZ526" s="26"/>
      <c r="GA526" s="26"/>
      <c r="GB526" s="26"/>
      <c r="GC526" s="26"/>
      <c r="GD526" s="26"/>
      <c r="GE526" s="26"/>
      <c r="GF526" s="26"/>
      <c r="GG526" s="26"/>
      <c r="GH526" s="26"/>
      <c r="GI526" s="26">
        <v>100</v>
      </c>
      <c r="GJ526" s="26"/>
      <c r="GK526" s="26"/>
      <c r="GL526" s="65"/>
      <c r="GM526" s="26"/>
      <c r="GN526" s="26"/>
      <c r="GO526" s="26"/>
      <c r="GP526" s="26"/>
      <c r="GQ526" s="26"/>
      <c r="GR526" s="26"/>
      <c r="GS526" s="64"/>
      <c r="GT526" s="26"/>
      <c r="GU526" s="26"/>
      <c r="GV526" s="26"/>
      <c r="GW526" s="26"/>
      <c r="GX526" s="64"/>
      <c r="GY526" s="26"/>
      <c r="GZ526" s="26"/>
      <c r="HA526" s="26"/>
      <c r="HB526" s="26"/>
      <c r="HC526" s="65"/>
      <c r="HD526" s="26"/>
      <c r="HE526" s="26"/>
      <c r="HF526" s="26"/>
      <c r="HG526" s="26"/>
      <c r="HH526" s="65"/>
      <c r="HI526" s="26"/>
      <c r="HJ526" s="26"/>
      <c r="HK526" s="25"/>
      <c r="HL526" s="25"/>
    </row>
    <row r="527" spans="1:220" ht="15.75" customHeight="1" x14ac:dyDescent="0.2">
      <c r="A527" s="58">
        <v>43712.127129629633</v>
      </c>
      <c r="B527" s="32">
        <v>593155</v>
      </c>
      <c r="C527" s="70">
        <v>100</v>
      </c>
      <c r="D527" s="81" t="s">
        <v>568</v>
      </c>
      <c r="E527" s="32">
        <f t="shared" si="18"/>
        <v>0</v>
      </c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8"/>
      <c r="FW527" s="28"/>
      <c r="FX527" s="28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>
        <v>100</v>
      </c>
      <c r="GJ527" s="26"/>
      <c r="GK527" s="26"/>
      <c r="GL527" s="65"/>
      <c r="GM527" s="26"/>
      <c r="GN527" s="26"/>
      <c r="GO527" s="26"/>
      <c r="GP527" s="26"/>
      <c r="GQ527" s="26"/>
      <c r="GR527" s="26"/>
      <c r="GS527" s="64"/>
      <c r="GT527" s="26"/>
      <c r="GU527" s="26"/>
      <c r="GV527" s="26"/>
      <c r="GW527" s="26"/>
      <c r="GX527" s="64"/>
      <c r="GY527" s="26"/>
      <c r="GZ527" s="26"/>
      <c r="HA527" s="26"/>
      <c r="HB527" s="26"/>
      <c r="HC527" s="65"/>
      <c r="HD527" s="26"/>
      <c r="HE527" s="26"/>
      <c r="HF527" s="26"/>
      <c r="HG527" s="26"/>
      <c r="HH527" s="65"/>
      <c r="HI527" s="26"/>
      <c r="HJ527" s="26"/>
      <c r="HK527" s="25"/>
      <c r="HL527" s="25"/>
    </row>
    <row r="528" spans="1:220" ht="15.75" customHeight="1" x14ac:dyDescent="0.2">
      <c r="A528" s="58">
        <v>43711.621550925927</v>
      </c>
      <c r="B528" s="32">
        <v>593077</v>
      </c>
      <c r="C528" s="70">
        <v>149</v>
      </c>
      <c r="D528" s="81" t="s">
        <v>569</v>
      </c>
      <c r="E528" s="32">
        <f t="shared" si="18"/>
        <v>0</v>
      </c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8"/>
      <c r="FW528" s="28"/>
      <c r="FX528" s="28"/>
      <c r="FY528" s="26"/>
      <c r="FZ528" s="26"/>
      <c r="GA528" s="26"/>
      <c r="GB528" s="26"/>
      <c r="GC528" s="26"/>
      <c r="GD528" s="26"/>
      <c r="GE528" s="26"/>
      <c r="GF528" s="26"/>
      <c r="GG528" s="26"/>
      <c r="GH528" s="26"/>
      <c r="GI528" s="26">
        <v>149</v>
      </c>
      <c r="GJ528" s="26"/>
      <c r="GK528" s="26"/>
      <c r="GL528" s="65"/>
      <c r="GM528" s="26"/>
      <c r="GN528" s="26"/>
      <c r="GO528" s="26"/>
      <c r="GP528" s="26"/>
      <c r="GQ528" s="26"/>
      <c r="GR528" s="26"/>
      <c r="GS528" s="64"/>
      <c r="GT528" s="26"/>
      <c r="GU528" s="26"/>
      <c r="GV528" s="26"/>
      <c r="GW528" s="26"/>
      <c r="GX528" s="64"/>
      <c r="GY528" s="26"/>
      <c r="GZ528" s="26"/>
      <c r="HA528" s="26"/>
      <c r="HB528" s="26"/>
      <c r="HC528" s="65"/>
      <c r="HD528" s="26"/>
      <c r="HE528" s="26"/>
      <c r="HF528" s="26"/>
      <c r="HG528" s="26"/>
      <c r="HH528" s="65"/>
      <c r="HI528" s="26"/>
      <c r="HJ528" s="26"/>
      <c r="HK528" s="25"/>
      <c r="HL528" s="25"/>
    </row>
    <row r="529" spans="1:220" ht="15.75" customHeight="1" x14ac:dyDescent="0.2">
      <c r="A529" s="58">
        <v>43711.475046296298</v>
      </c>
      <c r="B529" s="32">
        <v>593050</v>
      </c>
      <c r="C529" s="70">
        <v>100</v>
      </c>
      <c r="D529" s="81" t="s">
        <v>570</v>
      </c>
      <c r="E529" s="32">
        <f t="shared" si="18"/>
        <v>0</v>
      </c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8"/>
      <c r="FW529" s="28"/>
      <c r="FX529" s="28"/>
      <c r="FY529" s="26"/>
      <c r="FZ529" s="2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>
        <v>100</v>
      </c>
      <c r="GK529" s="26"/>
      <c r="GL529" s="65"/>
      <c r="GM529" s="26"/>
      <c r="GN529" s="26"/>
      <c r="GO529" s="26"/>
      <c r="GP529" s="26"/>
      <c r="GQ529" s="26"/>
      <c r="GR529" s="26"/>
      <c r="GS529" s="64"/>
      <c r="GT529" s="26"/>
      <c r="GU529" s="26"/>
      <c r="GV529" s="26"/>
      <c r="GW529" s="26"/>
      <c r="GX529" s="64"/>
      <c r="GY529" s="26"/>
      <c r="GZ529" s="26"/>
      <c r="HA529" s="26"/>
      <c r="HB529" s="26"/>
      <c r="HC529" s="65"/>
      <c r="HD529" s="26"/>
      <c r="HE529" s="26"/>
      <c r="HF529" s="26"/>
      <c r="HG529" s="26"/>
      <c r="HH529" s="65"/>
      <c r="HI529" s="26"/>
      <c r="HJ529" s="26"/>
      <c r="HK529" s="25"/>
      <c r="HL529" s="25"/>
    </row>
    <row r="530" spans="1:220" ht="15.75" customHeight="1" x14ac:dyDescent="0.2">
      <c r="A530" s="58">
        <v>43711.475046296298</v>
      </c>
      <c r="B530" s="32">
        <v>593050</v>
      </c>
      <c r="C530" s="70">
        <v>100</v>
      </c>
      <c r="D530" s="81" t="s">
        <v>571</v>
      </c>
      <c r="E530" s="32">
        <f t="shared" si="18"/>
        <v>0</v>
      </c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8"/>
      <c r="FW530" s="28"/>
      <c r="FX530" s="28"/>
      <c r="FY530" s="26"/>
      <c r="FZ530" s="26"/>
      <c r="GA530" s="26"/>
      <c r="GB530" s="26"/>
      <c r="GC530" s="26"/>
      <c r="GD530" s="26"/>
      <c r="GE530" s="26"/>
      <c r="GF530" s="26"/>
      <c r="GG530" s="26"/>
      <c r="GH530" s="26"/>
      <c r="GI530" s="26"/>
      <c r="GJ530" s="26">
        <v>100</v>
      </c>
      <c r="GK530" s="26"/>
      <c r="GL530" s="65"/>
      <c r="GM530" s="26"/>
      <c r="GN530" s="26"/>
      <c r="GO530" s="26"/>
      <c r="GP530" s="26"/>
      <c r="GQ530" s="26"/>
      <c r="GR530" s="26"/>
      <c r="GS530" s="64"/>
      <c r="GT530" s="26"/>
      <c r="GU530" s="26"/>
      <c r="GV530" s="26"/>
      <c r="GW530" s="26"/>
      <c r="GX530" s="64"/>
      <c r="GY530" s="26"/>
      <c r="GZ530" s="26"/>
      <c r="HA530" s="26"/>
      <c r="HB530" s="26"/>
      <c r="HC530" s="65"/>
      <c r="HD530" s="26"/>
      <c r="HE530" s="26"/>
      <c r="HF530" s="26"/>
      <c r="HG530" s="26"/>
      <c r="HH530" s="65"/>
      <c r="HI530" s="26"/>
      <c r="HJ530" s="26"/>
      <c r="HK530" s="25"/>
      <c r="HL530" s="25"/>
    </row>
    <row r="531" spans="1:220" ht="15.75" customHeight="1" x14ac:dyDescent="0.2">
      <c r="A531" s="58">
        <v>43711.473217592589</v>
      </c>
      <c r="B531" s="32">
        <v>593049</v>
      </c>
      <c r="C531" s="70">
        <v>100</v>
      </c>
      <c r="D531" s="81" t="s">
        <v>572</v>
      </c>
      <c r="E531" s="32">
        <f t="shared" si="18"/>
        <v>0</v>
      </c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8"/>
      <c r="FW531" s="28"/>
      <c r="FX531" s="28"/>
      <c r="FY531" s="26"/>
      <c r="FZ531" s="26"/>
      <c r="GA531" s="26"/>
      <c r="GB531" s="26"/>
      <c r="GC531" s="26"/>
      <c r="GD531" s="26"/>
      <c r="GE531" s="26"/>
      <c r="GF531" s="26"/>
      <c r="GG531" s="26"/>
      <c r="GH531" s="26"/>
      <c r="GI531" s="26"/>
      <c r="GJ531" s="26">
        <v>100</v>
      </c>
      <c r="GK531" s="26"/>
      <c r="GL531" s="65"/>
      <c r="GM531" s="26"/>
      <c r="GN531" s="26"/>
      <c r="GO531" s="26"/>
      <c r="GP531" s="26"/>
      <c r="GQ531" s="26"/>
      <c r="GR531" s="26"/>
      <c r="GS531" s="64"/>
      <c r="GT531" s="26"/>
      <c r="GU531" s="26"/>
      <c r="GV531" s="26"/>
      <c r="GW531" s="26"/>
      <c r="GX531" s="64"/>
      <c r="GY531" s="26"/>
      <c r="GZ531" s="26"/>
      <c r="HA531" s="26"/>
      <c r="HB531" s="26"/>
      <c r="HC531" s="65"/>
      <c r="HD531" s="26"/>
      <c r="HE531" s="26"/>
      <c r="HF531" s="26"/>
      <c r="HG531" s="26"/>
      <c r="HH531" s="65"/>
      <c r="HI531" s="26"/>
      <c r="HJ531" s="26"/>
      <c r="HK531" s="25"/>
      <c r="HL531" s="25"/>
    </row>
    <row r="532" spans="1:220" ht="15.75" customHeight="1" x14ac:dyDescent="0.2">
      <c r="A532" s="58">
        <v>43711.473217592589</v>
      </c>
      <c r="B532" s="32">
        <v>593049</v>
      </c>
      <c r="C532" s="70">
        <v>100</v>
      </c>
      <c r="D532" s="81" t="s">
        <v>573</v>
      </c>
      <c r="E532" s="32">
        <f t="shared" si="18"/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8"/>
      <c r="FW532" s="28"/>
      <c r="FX532" s="28"/>
      <c r="FY532" s="26"/>
      <c r="FZ532" s="26"/>
      <c r="GA532" s="26"/>
      <c r="GB532" s="26"/>
      <c r="GC532" s="26"/>
      <c r="GD532" s="26"/>
      <c r="GE532" s="26"/>
      <c r="GF532" s="26"/>
      <c r="GG532" s="26"/>
      <c r="GH532" s="26"/>
      <c r="GI532" s="26"/>
      <c r="GJ532" s="26">
        <v>100</v>
      </c>
      <c r="GK532" s="26"/>
      <c r="GL532" s="65"/>
      <c r="GM532" s="26"/>
      <c r="GN532" s="26"/>
      <c r="GO532" s="26"/>
      <c r="GP532" s="26"/>
      <c r="GQ532" s="26"/>
      <c r="GR532" s="26"/>
      <c r="GS532" s="64"/>
      <c r="GT532" s="26"/>
      <c r="GU532" s="26"/>
      <c r="GV532" s="26"/>
      <c r="GW532" s="26"/>
      <c r="GX532" s="64"/>
      <c r="GY532" s="26"/>
      <c r="GZ532" s="26"/>
      <c r="HA532" s="26"/>
      <c r="HB532" s="26"/>
      <c r="HC532" s="65"/>
      <c r="HD532" s="26"/>
      <c r="HE532" s="26"/>
      <c r="HF532" s="26"/>
      <c r="HG532" s="26"/>
      <c r="HH532" s="65"/>
      <c r="HI532" s="26"/>
      <c r="HJ532" s="26"/>
      <c r="HK532" s="25"/>
      <c r="HL532" s="25"/>
    </row>
    <row r="533" spans="1:220" ht="15.75" customHeight="1" x14ac:dyDescent="0.2">
      <c r="A533" s="58">
        <v>43711.361932870372</v>
      </c>
      <c r="B533" s="32">
        <v>593032</v>
      </c>
      <c r="C533" s="70">
        <v>59.77</v>
      </c>
      <c r="D533" s="81" t="s">
        <v>574</v>
      </c>
      <c r="E533" s="32">
        <f t="shared" si="18"/>
        <v>0</v>
      </c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8"/>
      <c r="FW533" s="28"/>
      <c r="FX533" s="28"/>
      <c r="FY533" s="26"/>
      <c r="FZ533" s="26"/>
      <c r="GA533" s="26"/>
      <c r="GB533" s="26"/>
      <c r="GC533" s="26"/>
      <c r="GD533" s="26"/>
      <c r="GE533" s="26"/>
      <c r="GF533" s="26"/>
      <c r="GG533" s="26"/>
      <c r="GH533" s="26"/>
      <c r="GI533" s="26"/>
      <c r="GJ533" s="26">
        <v>59.77</v>
      </c>
      <c r="GK533" s="26"/>
      <c r="GL533" s="65"/>
      <c r="GM533" s="26"/>
      <c r="GN533" s="26"/>
      <c r="GO533" s="26"/>
      <c r="GP533" s="26"/>
      <c r="GQ533" s="26"/>
      <c r="GR533" s="26"/>
      <c r="GS533" s="64"/>
      <c r="GT533" s="26"/>
      <c r="GU533" s="26"/>
      <c r="GV533" s="26"/>
      <c r="GW533" s="26"/>
      <c r="GX533" s="64"/>
      <c r="GY533" s="26"/>
      <c r="GZ533" s="26"/>
      <c r="HA533" s="26"/>
      <c r="HB533" s="26"/>
      <c r="HC533" s="65"/>
      <c r="HD533" s="26"/>
      <c r="HE533" s="26"/>
      <c r="HF533" s="26"/>
      <c r="HG533" s="26"/>
      <c r="HH533" s="65"/>
      <c r="HI533" s="26"/>
      <c r="HJ533" s="26"/>
      <c r="HK533" s="25"/>
      <c r="HL533" s="25"/>
    </row>
    <row r="534" spans="1:220" ht="15.75" customHeight="1" x14ac:dyDescent="0.2">
      <c r="A534" s="58">
        <v>43711.360856481479</v>
      </c>
      <c r="B534" s="32">
        <v>593031</v>
      </c>
      <c r="C534" s="70">
        <v>39.14</v>
      </c>
      <c r="D534" s="81" t="s">
        <v>575</v>
      </c>
      <c r="E534" s="32">
        <f t="shared" si="18"/>
        <v>0</v>
      </c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8"/>
      <c r="FW534" s="28"/>
      <c r="FX534" s="28"/>
      <c r="FY534" s="26"/>
      <c r="FZ534" s="26"/>
      <c r="GA534" s="26"/>
      <c r="GB534" s="26"/>
      <c r="GC534" s="26"/>
      <c r="GD534" s="26"/>
      <c r="GE534" s="26"/>
      <c r="GF534" s="26"/>
      <c r="GG534" s="26"/>
      <c r="GH534" s="26"/>
      <c r="GI534" s="26"/>
      <c r="GJ534" s="26">
        <v>39.14</v>
      </c>
      <c r="GK534" s="26"/>
      <c r="GL534" s="65"/>
      <c r="GM534" s="26"/>
      <c r="GN534" s="26"/>
      <c r="GO534" s="26"/>
      <c r="GP534" s="26"/>
      <c r="GQ534" s="26"/>
      <c r="GR534" s="26"/>
      <c r="GS534" s="64"/>
      <c r="GT534" s="26"/>
      <c r="GU534" s="26"/>
      <c r="GV534" s="26"/>
      <c r="GW534" s="26"/>
      <c r="GX534" s="64"/>
      <c r="GY534" s="26"/>
      <c r="GZ534" s="26"/>
      <c r="HA534" s="26"/>
      <c r="HB534" s="26"/>
      <c r="HC534" s="65"/>
      <c r="HD534" s="26"/>
      <c r="HE534" s="26"/>
      <c r="HF534" s="26"/>
      <c r="HG534" s="26"/>
      <c r="HH534" s="65"/>
      <c r="HI534" s="26"/>
      <c r="HJ534" s="26"/>
      <c r="HK534" s="25"/>
      <c r="HL534" s="25"/>
    </row>
    <row r="535" spans="1:220" ht="15.75" customHeight="1" x14ac:dyDescent="0.2">
      <c r="A535" s="58">
        <v>43711.191331018519</v>
      </c>
      <c r="B535" s="32">
        <v>593005</v>
      </c>
      <c r="C535" s="70">
        <v>82.04</v>
      </c>
      <c r="D535" s="81" t="s">
        <v>576</v>
      </c>
      <c r="E535" s="32">
        <f t="shared" si="18"/>
        <v>0</v>
      </c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8"/>
      <c r="FW535" s="28"/>
      <c r="FX535" s="28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>
        <v>82.04</v>
      </c>
      <c r="GK535" s="26"/>
      <c r="GL535" s="65"/>
      <c r="GM535" s="26"/>
      <c r="GN535" s="26"/>
      <c r="GO535" s="26"/>
      <c r="GP535" s="26"/>
      <c r="GQ535" s="26"/>
      <c r="GR535" s="26"/>
      <c r="GS535" s="64"/>
      <c r="GT535" s="26"/>
      <c r="GU535" s="26"/>
      <c r="GV535" s="26"/>
      <c r="GW535" s="26"/>
      <c r="GX535" s="64"/>
      <c r="GY535" s="26"/>
      <c r="GZ535" s="26"/>
      <c r="HA535" s="26"/>
      <c r="HB535" s="26"/>
      <c r="HC535" s="65"/>
      <c r="HD535" s="26"/>
      <c r="HE535" s="26"/>
      <c r="HF535" s="26"/>
      <c r="HG535" s="26"/>
      <c r="HH535" s="65"/>
      <c r="HI535" s="26"/>
      <c r="HJ535" s="26"/>
      <c r="HK535" s="25"/>
      <c r="HL535" s="25"/>
    </row>
    <row r="536" spans="1:220" ht="15.75" customHeight="1" x14ac:dyDescent="0.2">
      <c r="A536" s="58">
        <v>43711.191331018519</v>
      </c>
      <c r="B536" s="32">
        <v>593005</v>
      </c>
      <c r="C536" s="70">
        <v>80.14</v>
      </c>
      <c r="D536" s="81" t="s">
        <v>577</v>
      </c>
      <c r="E536" s="32">
        <f t="shared" si="18"/>
        <v>0</v>
      </c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8"/>
      <c r="FW536" s="28"/>
      <c r="FX536" s="28"/>
      <c r="FY536" s="26"/>
      <c r="FZ536" s="26"/>
      <c r="GA536" s="26"/>
      <c r="GB536" s="26"/>
      <c r="GC536" s="26"/>
      <c r="GD536" s="26"/>
      <c r="GE536" s="26"/>
      <c r="GF536" s="26"/>
      <c r="GG536" s="26"/>
      <c r="GH536" s="26"/>
      <c r="GI536" s="26"/>
      <c r="GJ536" s="26">
        <v>80.14</v>
      </c>
      <c r="GK536" s="26"/>
      <c r="GL536" s="65"/>
      <c r="GM536" s="26"/>
      <c r="GN536" s="26"/>
      <c r="GO536" s="26"/>
      <c r="GP536" s="26"/>
      <c r="GQ536" s="26"/>
      <c r="GR536" s="26"/>
      <c r="GS536" s="64"/>
      <c r="GT536" s="26"/>
      <c r="GU536" s="26"/>
      <c r="GV536" s="26"/>
      <c r="GW536" s="26"/>
      <c r="GX536" s="64"/>
      <c r="GY536" s="26"/>
      <c r="GZ536" s="26"/>
      <c r="HA536" s="26"/>
      <c r="HB536" s="26"/>
      <c r="HC536" s="65"/>
      <c r="HD536" s="26"/>
      <c r="HE536" s="26"/>
      <c r="HF536" s="26"/>
      <c r="HG536" s="26"/>
      <c r="HH536" s="65"/>
      <c r="HI536" s="26"/>
      <c r="HJ536" s="26"/>
      <c r="HK536" s="25"/>
      <c r="HL536" s="25"/>
    </row>
    <row r="537" spans="1:220" ht="15.75" customHeight="1" x14ac:dyDescent="0.2">
      <c r="A537" s="58">
        <v>43711.185613425929</v>
      </c>
      <c r="B537" s="32">
        <v>593004</v>
      </c>
      <c r="C537" s="70">
        <v>74.319999999999993</v>
      </c>
      <c r="D537" s="81" t="s">
        <v>578</v>
      </c>
      <c r="E537" s="32">
        <f t="shared" si="18"/>
        <v>1.9999999999996021E-2</v>
      </c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8"/>
      <c r="FW537" s="28"/>
      <c r="FX537" s="28"/>
      <c r="FY537" s="26"/>
      <c r="FZ537" s="26"/>
      <c r="GA537" s="26"/>
      <c r="GB537" s="26"/>
      <c r="GC537" s="26"/>
      <c r="GD537" s="26"/>
      <c r="GE537" s="26"/>
      <c r="GF537" s="26"/>
      <c r="GG537" s="26"/>
      <c r="GH537" s="26"/>
      <c r="GI537" s="26"/>
      <c r="GJ537" s="26">
        <v>74.3</v>
      </c>
      <c r="GK537" s="26"/>
      <c r="GL537" s="65"/>
      <c r="GM537" s="26"/>
      <c r="GN537" s="26"/>
      <c r="GO537" s="26"/>
      <c r="GP537" s="26"/>
      <c r="GQ537" s="26"/>
      <c r="GR537" s="26"/>
      <c r="GS537" s="64"/>
      <c r="GT537" s="26"/>
      <c r="GU537" s="26"/>
      <c r="GV537" s="26"/>
      <c r="GW537" s="26"/>
      <c r="GX537" s="64"/>
      <c r="GY537" s="26"/>
      <c r="GZ537" s="26"/>
      <c r="HA537" s="26"/>
      <c r="HB537" s="26"/>
      <c r="HC537" s="65"/>
      <c r="HD537" s="26"/>
      <c r="HE537" s="26"/>
      <c r="HF537" s="26"/>
      <c r="HG537" s="26"/>
      <c r="HH537" s="65"/>
      <c r="HI537" s="26"/>
      <c r="HJ537" s="26"/>
      <c r="HK537" s="25"/>
      <c r="HL537" s="25"/>
    </row>
    <row r="538" spans="1:220" ht="15.75" customHeight="1" x14ac:dyDescent="0.2">
      <c r="A538" s="58">
        <v>43711.185613425929</v>
      </c>
      <c r="B538" s="32">
        <v>593004</v>
      </c>
      <c r="C538" s="70">
        <v>80.72</v>
      </c>
      <c r="D538" s="81" t="s">
        <v>579</v>
      </c>
      <c r="E538" s="32">
        <f t="shared" si="18"/>
        <v>0</v>
      </c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8"/>
      <c r="FW538" s="28"/>
      <c r="FX538" s="28"/>
      <c r="FY538" s="26"/>
      <c r="FZ538" s="26"/>
      <c r="GA538" s="26"/>
      <c r="GB538" s="26"/>
      <c r="GC538" s="26"/>
      <c r="GD538" s="26"/>
      <c r="GE538" s="26"/>
      <c r="GF538" s="26"/>
      <c r="GG538" s="26"/>
      <c r="GH538" s="26"/>
      <c r="GI538" s="26"/>
      <c r="GJ538" s="26">
        <v>80.72</v>
      </c>
      <c r="GK538" s="26"/>
      <c r="GL538" s="65"/>
      <c r="GM538" s="26"/>
      <c r="GN538" s="26"/>
      <c r="GO538" s="26"/>
      <c r="GP538" s="26"/>
      <c r="GQ538" s="26"/>
      <c r="GR538" s="26"/>
      <c r="GS538" s="64"/>
      <c r="GT538" s="26"/>
      <c r="GU538" s="26"/>
      <c r="GV538" s="26"/>
      <c r="GW538" s="26"/>
      <c r="GX538" s="64"/>
      <c r="GY538" s="26"/>
      <c r="GZ538" s="26"/>
      <c r="HA538" s="26"/>
      <c r="HB538" s="26"/>
      <c r="HC538" s="65"/>
      <c r="HD538" s="26"/>
      <c r="HE538" s="26"/>
      <c r="HF538" s="26"/>
      <c r="HG538" s="26"/>
      <c r="HH538" s="65"/>
      <c r="HI538" s="26"/>
      <c r="HJ538" s="26"/>
      <c r="HK538" s="25"/>
      <c r="HL538" s="25"/>
    </row>
    <row r="539" spans="1:220" ht="15.75" customHeight="1" x14ac:dyDescent="0.2">
      <c r="A539" s="58">
        <v>43711.185613425929</v>
      </c>
      <c r="B539" s="32">
        <v>593004</v>
      </c>
      <c r="C539" s="70">
        <v>80.150000000000006</v>
      </c>
      <c r="D539" s="81" t="s">
        <v>580</v>
      </c>
      <c r="E539" s="32">
        <f t="shared" si="18"/>
        <v>0</v>
      </c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8"/>
      <c r="FW539" s="28"/>
      <c r="FX539" s="28"/>
      <c r="FY539" s="26"/>
      <c r="FZ539" s="26"/>
      <c r="GA539" s="26"/>
      <c r="GB539" s="26"/>
      <c r="GC539" s="26"/>
      <c r="GD539" s="26"/>
      <c r="GE539" s="26"/>
      <c r="GF539" s="26"/>
      <c r="GG539" s="26"/>
      <c r="GH539" s="26"/>
      <c r="GI539" s="26"/>
      <c r="GJ539" s="26">
        <v>80.150000000000006</v>
      </c>
      <c r="GK539" s="26"/>
      <c r="GL539" s="65"/>
      <c r="GM539" s="26"/>
      <c r="GN539" s="26"/>
      <c r="GO539" s="26"/>
      <c r="GP539" s="26"/>
      <c r="GQ539" s="26"/>
      <c r="GR539" s="26"/>
      <c r="GS539" s="64"/>
      <c r="GT539" s="26"/>
      <c r="GU539" s="26"/>
      <c r="GV539" s="26"/>
      <c r="GW539" s="26"/>
      <c r="GX539" s="64"/>
      <c r="GY539" s="26"/>
      <c r="GZ539" s="26"/>
      <c r="HA539" s="26"/>
      <c r="HB539" s="26"/>
      <c r="HC539" s="65"/>
      <c r="HD539" s="26"/>
      <c r="HE539" s="26"/>
      <c r="HF539" s="26"/>
      <c r="HG539" s="26"/>
      <c r="HH539" s="65"/>
      <c r="HI539" s="26"/>
      <c r="HJ539" s="26"/>
      <c r="HK539" s="25"/>
      <c r="HL539" s="25"/>
    </row>
    <row r="540" spans="1:220" ht="15.75" customHeight="1" x14ac:dyDescent="0.2">
      <c r="A540" s="58">
        <v>43711.185613425929</v>
      </c>
      <c r="B540" s="32">
        <v>593004</v>
      </c>
      <c r="C540" s="70">
        <v>84.02</v>
      </c>
      <c r="D540" s="81" t="s">
        <v>581</v>
      </c>
      <c r="E540" s="32">
        <f t="shared" si="18"/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8"/>
      <c r="FW540" s="28"/>
      <c r="FX540" s="28"/>
      <c r="FY540" s="26"/>
      <c r="FZ540" s="26"/>
      <c r="GA540" s="26"/>
      <c r="GB540" s="26"/>
      <c r="GC540" s="26"/>
      <c r="GD540" s="26"/>
      <c r="GE540" s="26"/>
      <c r="GF540" s="26"/>
      <c r="GG540" s="26"/>
      <c r="GH540" s="26"/>
      <c r="GI540" s="26"/>
      <c r="GJ540" s="26">
        <v>84.02</v>
      </c>
      <c r="GK540" s="26"/>
      <c r="GL540" s="65"/>
      <c r="GM540" s="26"/>
      <c r="GN540" s="26"/>
      <c r="GO540" s="26"/>
      <c r="GP540" s="26"/>
      <c r="GQ540" s="26"/>
      <c r="GR540" s="26"/>
      <c r="GS540" s="64"/>
      <c r="GT540" s="26"/>
      <c r="GU540" s="26"/>
      <c r="GV540" s="26"/>
      <c r="GW540" s="26"/>
      <c r="GX540" s="64"/>
      <c r="GY540" s="26"/>
      <c r="GZ540" s="26"/>
      <c r="HA540" s="26"/>
      <c r="HB540" s="26"/>
      <c r="HC540" s="65"/>
      <c r="HD540" s="26"/>
      <c r="HE540" s="26"/>
      <c r="HF540" s="26"/>
      <c r="HG540" s="26"/>
      <c r="HH540" s="65"/>
      <c r="HI540" s="26"/>
      <c r="HJ540" s="26"/>
      <c r="HK540" s="25"/>
      <c r="HL540" s="25"/>
    </row>
    <row r="541" spans="1:220" ht="15.75" customHeight="1" x14ac:dyDescent="0.2">
      <c r="A541" s="58">
        <v>43711.185613425929</v>
      </c>
      <c r="B541" s="32">
        <v>593004</v>
      </c>
      <c r="C541" s="70">
        <v>78.02</v>
      </c>
      <c r="D541" s="81" t="s">
        <v>582</v>
      </c>
      <c r="E541" s="32">
        <f t="shared" si="18"/>
        <v>0</v>
      </c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8"/>
      <c r="FW541" s="28"/>
      <c r="FX541" s="28"/>
      <c r="FY541" s="26"/>
      <c r="FZ541" s="26"/>
      <c r="GA541" s="26"/>
      <c r="GB541" s="26"/>
      <c r="GC541" s="26"/>
      <c r="GD541" s="26"/>
      <c r="GE541" s="26"/>
      <c r="GF541" s="26"/>
      <c r="GG541" s="26"/>
      <c r="GH541" s="26"/>
      <c r="GI541" s="26"/>
      <c r="GJ541" s="26">
        <v>78.02</v>
      </c>
      <c r="GK541" s="26"/>
      <c r="GL541" s="65"/>
      <c r="GM541" s="26"/>
      <c r="GN541" s="26"/>
      <c r="GO541" s="26"/>
      <c r="GP541" s="26"/>
      <c r="GQ541" s="26"/>
      <c r="GR541" s="26"/>
      <c r="GS541" s="64"/>
      <c r="GT541" s="26"/>
      <c r="GU541" s="26"/>
      <c r="GV541" s="26"/>
      <c r="GW541" s="26"/>
      <c r="GX541" s="64"/>
      <c r="GY541" s="26"/>
      <c r="GZ541" s="26"/>
      <c r="HA541" s="26"/>
      <c r="HB541" s="26"/>
      <c r="HC541" s="65"/>
      <c r="HD541" s="26"/>
      <c r="HE541" s="26"/>
      <c r="HF541" s="26"/>
      <c r="HG541" s="26"/>
      <c r="HH541" s="65"/>
      <c r="HI541" s="26"/>
      <c r="HJ541" s="26"/>
      <c r="HK541" s="25"/>
      <c r="HL541" s="25"/>
    </row>
    <row r="542" spans="1:220" ht="15.75" customHeight="1" x14ac:dyDescent="0.2">
      <c r="A542" s="58">
        <v>43711.185613425929</v>
      </c>
      <c r="B542" s="32">
        <v>593004</v>
      </c>
      <c r="C542" s="70">
        <v>75.02</v>
      </c>
      <c r="D542" s="81" t="s">
        <v>583</v>
      </c>
      <c r="E542" s="32">
        <f t="shared" si="18"/>
        <v>0</v>
      </c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8"/>
      <c r="FW542" s="28"/>
      <c r="FX542" s="28"/>
      <c r="FY542" s="26"/>
      <c r="FZ542" s="26"/>
      <c r="GA542" s="26"/>
      <c r="GB542" s="26"/>
      <c r="GC542" s="26"/>
      <c r="GD542" s="26"/>
      <c r="GE542" s="26"/>
      <c r="GF542" s="26"/>
      <c r="GG542" s="26"/>
      <c r="GH542" s="26"/>
      <c r="GI542" s="26"/>
      <c r="GJ542" s="26">
        <v>75.02</v>
      </c>
      <c r="GK542" s="26"/>
      <c r="GL542" s="65"/>
      <c r="GM542" s="26"/>
      <c r="GN542" s="26"/>
      <c r="GO542" s="26"/>
      <c r="GP542" s="26"/>
      <c r="GQ542" s="26"/>
      <c r="GR542" s="26"/>
      <c r="GS542" s="64"/>
      <c r="GT542" s="26"/>
      <c r="GU542" s="26"/>
      <c r="GV542" s="26"/>
      <c r="GW542" s="26"/>
      <c r="GX542" s="64"/>
      <c r="GY542" s="26"/>
      <c r="GZ542" s="26"/>
      <c r="HA542" s="26"/>
      <c r="HB542" s="26"/>
      <c r="HC542" s="65"/>
      <c r="HD542" s="26"/>
      <c r="HE542" s="26"/>
      <c r="HF542" s="26"/>
      <c r="HG542" s="26"/>
      <c r="HH542" s="65"/>
      <c r="HI542" s="26"/>
      <c r="HJ542" s="26"/>
      <c r="HK542" s="25"/>
      <c r="HL542" s="25"/>
    </row>
    <row r="543" spans="1:220" ht="15.75" customHeight="1" x14ac:dyDescent="0.2">
      <c r="A543" s="58">
        <v>43711.185613425929</v>
      </c>
      <c r="B543" s="32">
        <v>593004</v>
      </c>
      <c r="C543" s="70">
        <v>72.319999999999993</v>
      </c>
      <c r="D543" s="81" t="s">
        <v>584</v>
      </c>
      <c r="E543" s="32">
        <f t="shared" si="18"/>
        <v>0</v>
      </c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8"/>
      <c r="FW543" s="28"/>
      <c r="FX543" s="28"/>
      <c r="FY543" s="26"/>
      <c r="FZ543" s="26"/>
      <c r="GA543" s="26"/>
      <c r="GB543" s="26"/>
      <c r="GC543" s="26"/>
      <c r="GD543" s="26"/>
      <c r="GE543" s="26"/>
      <c r="GF543" s="26"/>
      <c r="GG543" s="26"/>
      <c r="GH543" s="26"/>
      <c r="GI543" s="26"/>
      <c r="GJ543" s="26">
        <v>72.319999999999993</v>
      </c>
      <c r="GK543" s="26"/>
      <c r="GL543" s="65"/>
      <c r="GM543" s="26"/>
      <c r="GN543" s="26"/>
      <c r="GO543" s="26"/>
      <c r="GP543" s="26"/>
      <c r="GQ543" s="26"/>
      <c r="GR543" s="26"/>
      <c r="GS543" s="64"/>
      <c r="GT543" s="26"/>
      <c r="GU543" s="26"/>
      <c r="GV543" s="26"/>
      <c r="GW543" s="26"/>
      <c r="GX543" s="64"/>
      <c r="GY543" s="26"/>
      <c r="GZ543" s="26"/>
      <c r="HA543" s="26"/>
      <c r="HB543" s="26"/>
      <c r="HC543" s="65"/>
      <c r="HD543" s="26"/>
      <c r="HE543" s="26"/>
      <c r="HF543" s="26"/>
      <c r="HG543" s="26"/>
      <c r="HH543" s="65"/>
      <c r="HI543" s="26"/>
      <c r="HJ543" s="26"/>
      <c r="HK543" s="25"/>
      <c r="HL543" s="25"/>
    </row>
    <row r="544" spans="1:220" ht="15.75" customHeight="1" x14ac:dyDescent="0.2">
      <c r="A544" s="58">
        <v>43711.181840277779</v>
      </c>
      <c r="B544" s="32">
        <v>593003</v>
      </c>
      <c r="C544" s="70">
        <v>51.47</v>
      </c>
      <c r="D544" s="81" t="s">
        <v>585</v>
      </c>
      <c r="E544" s="32">
        <f t="shared" si="18"/>
        <v>0</v>
      </c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8"/>
      <c r="FW544" s="28"/>
      <c r="FX544" s="28"/>
      <c r="FY544" s="26"/>
      <c r="FZ544" s="26"/>
      <c r="GA544" s="26"/>
      <c r="GB544" s="26"/>
      <c r="GC544" s="26"/>
      <c r="GD544" s="26"/>
      <c r="GE544" s="26"/>
      <c r="GF544" s="26"/>
      <c r="GG544" s="26"/>
      <c r="GH544" s="26"/>
      <c r="GI544" s="26"/>
      <c r="GJ544" s="26">
        <v>51.47</v>
      </c>
      <c r="GK544" s="26"/>
      <c r="GL544" s="65"/>
      <c r="GM544" s="26"/>
      <c r="GN544" s="26"/>
      <c r="GO544" s="26"/>
      <c r="GP544" s="26"/>
      <c r="GQ544" s="26"/>
      <c r="GR544" s="26"/>
      <c r="GS544" s="64"/>
      <c r="GT544" s="26"/>
      <c r="GU544" s="26"/>
      <c r="GV544" s="26"/>
      <c r="GW544" s="26"/>
      <c r="GX544" s="64"/>
      <c r="GY544" s="26"/>
      <c r="GZ544" s="26"/>
      <c r="HA544" s="26"/>
      <c r="HB544" s="26"/>
      <c r="HC544" s="65"/>
      <c r="HD544" s="26"/>
      <c r="HE544" s="26"/>
      <c r="HF544" s="26"/>
      <c r="HG544" s="26"/>
      <c r="HH544" s="65"/>
      <c r="HI544" s="26"/>
      <c r="HJ544" s="26"/>
      <c r="HK544" s="25"/>
      <c r="HL544" s="25"/>
    </row>
    <row r="545" spans="1:220" ht="15.75" customHeight="1" x14ac:dyDescent="0.2">
      <c r="A545" s="58">
        <v>43711.181342592594</v>
      </c>
      <c r="B545" s="32">
        <v>593002</v>
      </c>
      <c r="C545" s="70">
        <v>61.61</v>
      </c>
      <c r="D545" s="81" t="s">
        <v>586</v>
      </c>
      <c r="E545" s="32">
        <f t="shared" si="18"/>
        <v>0</v>
      </c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8"/>
      <c r="FW545" s="28"/>
      <c r="FX545" s="28"/>
      <c r="FY545" s="26"/>
      <c r="FZ545" s="26"/>
      <c r="GA545" s="26"/>
      <c r="GB545" s="26"/>
      <c r="GC545" s="26"/>
      <c r="GD545" s="26"/>
      <c r="GE545" s="26"/>
      <c r="GF545" s="26"/>
      <c r="GG545" s="26"/>
      <c r="GH545" s="26"/>
      <c r="GI545" s="26"/>
      <c r="GJ545" s="26">
        <v>61.61</v>
      </c>
      <c r="GK545" s="26"/>
      <c r="GL545" s="65"/>
      <c r="GM545" s="26"/>
      <c r="GN545" s="26"/>
      <c r="GO545" s="26"/>
      <c r="GP545" s="26"/>
      <c r="GQ545" s="26"/>
      <c r="GR545" s="26"/>
      <c r="GS545" s="64"/>
      <c r="GT545" s="26"/>
      <c r="GU545" s="26"/>
      <c r="GV545" s="26"/>
      <c r="GW545" s="26"/>
      <c r="GX545" s="64"/>
      <c r="GY545" s="26"/>
      <c r="GZ545" s="26"/>
      <c r="HA545" s="26"/>
      <c r="HB545" s="26"/>
      <c r="HC545" s="65"/>
      <c r="HD545" s="26"/>
      <c r="HE545" s="26"/>
      <c r="HF545" s="26"/>
      <c r="HG545" s="26"/>
      <c r="HH545" s="65"/>
      <c r="HI545" s="26"/>
      <c r="HJ545" s="26"/>
      <c r="HK545" s="25"/>
      <c r="HL545" s="25"/>
    </row>
    <row r="546" spans="1:220" ht="15.75" customHeight="1" x14ac:dyDescent="0.2">
      <c r="A546" s="58">
        <v>43711.155578703707</v>
      </c>
      <c r="B546" s="32">
        <v>592994</v>
      </c>
      <c r="C546" s="70">
        <v>58.36</v>
      </c>
      <c r="D546" s="81" t="s">
        <v>587</v>
      </c>
      <c r="E546" s="32">
        <f t="shared" si="18"/>
        <v>0</v>
      </c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8"/>
      <c r="FW546" s="28"/>
      <c r="FX546" s="28"/>
      <c r="FY546" s="26"/>
      <c r="FZ546" s="26"/>
      <c r="GA546" s="26"/>
      <c r="GB546" s="26"/>
      <c r="GC546" s="26"/>
      <c r="GD546" s="26"/>
      <c r="GE546" s="26"/>
      <c r="GF546" s="26"/>
      <c r="GG546" s="26"/>
      <c r="GH546" s="26"/>
      <c r="GI546" s="26"/>
      <c r="GJ546" s="26">
        <v>58.36</v>
      </c>
      <c r="GK546" s="26"/>
      <c r="GL546" s="65"/>
      <c r="GM546" s="26"/>
      <c r="GN546" s="26"/>
      <c r="GO546" s="26"/>
      <c r="GP546" s="26"/>
      <c r="GQ546" s="26"/>
      <c r="GR546" s="26"/>
      <c r="GS546" s="64"/>
      <c r="GT546" s="26"/>
      <c r="GU546" s="26"/>
      <c r="GV546" s="26"/>
      <c r="GW546" s="26"/>
      <c r="GX546" s="64"/>
      <c r="GY546" s="26"/>
      <c r="GZ546" s="26"/>
      <c r="HA546" s="26"/>
      <c r="HB546" s="26"/>
      <c r="HC546" s="65"/>
      <c r="HD546" s="26"/>
      <c r="HE546" s="26"/>
      <c r="HF546" s="26"/>
      <c r="HG546" s="26"/>
      <c r="HH546" s="65"/>
      <c r="HI546" s="26"/>
      <c r="HJ546" s="26"/>
      <c r="HK546" s="25"/>
      <c r="HL546" s="25"/>
    </row>
    <row r="547" spans="1:220" ht="15.75" customHeight="1" x14ac:dyDescent="0.2">
      <c r="A547" s="58">
        <v>43711.404305555552</v>
      </c>
      <c r="B547" s="32">
        <v>592994</v>
      </c>
      <c r="C547" s="70">
        <v>40</v>
      </c>
      <c r="D547" s="81" t="s">
        <v>588</v>
      </c>
      <c r="E547" s="32">
        <f t="shared" si="18"/>
        <v>0</v>
      </c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8"/>
      <c r="FW547" s="28"/>
      <c r="FX547" s="28"/>
      <c r="FY547" s="26"/>
      <c r="FZ547" s="26"/>
      <c r="GA547" s="26"/>
      <c r="GB547" s="26"/>
      <c r="GC547" s="26"/>
      <c r="GD547" s="26"/>
      <c r="GE547" s="26"/>
      <c r="GF547" s="26"/>
      <c r="GG547" s="26"/>
      <c r="GH547" s="26"/>
      <c r="GI547" s="26"/>
      <c r="GJ547" s="26">
        <v>40</v>
      </c>
      <c r="GK547" s="26"/>
      <c r="GL547" s="65"/>
      <c r="GM547" s="26"/>
      <c r="GN547" s="26"/>
      <c r="GO547" s="26"/>
      <c r="GP547" s="26"/>
      <c r="GQ547" s="26"/>
      <c r="GR547" s="26"/>
      <c r="GS547" s="64"/>
      <c r="GT547" s="26"/>
      <c r="GU547" s="26"/>
      <c r="GV547" s="26"/>
      <c r="GW547" s="26"/>
      <c r="GX547" s="64"/>
      <c r="GY547" s="26"/>
      <c r="GZ547" s="26"/>
      <c r="HA547" s="26"/>
      <c r="HB547" s="26"/>
      <c r="HC547" s="65"/>
      <c r="HD547" s="26"/>
      <c r="HE547" s="26"/>
      <c r="HF547" s="26"/>
      <c r="HG547" s="26"/>
      <c r="HH547" s="65"/>
      <c r="HI547" s="26"/>
      <c r="HJ547" s="26"/>
      <c r="HK547" s="25"/>
      <c r="HL547" s="25"/>
    </row>
    <row r="548" spans="1:220" ht="15.75" customHeight="1" x14ac:dyDescent="0.2">
      <c r="A548" s="58">
        <v>43711.155578703707</v>
      </c>
      <c r="B548" s="32">
        <v>592994</v>
      </c>
      <c r="C548" s="70">
        <v>52</v>
      </c>
      <c r="D548" s="81" t="s">
        <v>589</v>
      </c>
      <c r="E548" s="32">
        <f t="shared" si="18"/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8"/>
      <c r="FW548" s="28"/>
      <c r="FX548" s="28"/>
      <c r="FY548" s="26"/>
      <c r="FZ548" s="26"/>
      <c r="GA548" s="26"/>
      <c r="GB548" s="26"/>
      <c r="GC548" s="26"/>
      <c r="GD548" s="26"/>
      <c r="GE548" s="26"/>
      <c r="GF548" s="26"/>
      <c r="GG548" s="26"/>
      <c r="GH548" s="26"/>
      <c r="GI548" s="26"/>
      <c r="GJ548" s="26">
        <v>52</v>
      </c>
      <c r="GK548" s="26"/>
      <c r="GL548" s="65"/>
      <c r="GM548" s="26"/>
      <c r="GN548" s="26"/>
      <c r="GO548" s="26"/>
      <c r="GP548" s="26"/>
      <c r="GQ548" s="26"/>
      <c r="GR548" s="26"/>
      <c r="GS548" s="64"/>
      <c r="GT548" s="26"/>
      <c r="GU548" s="26"/>
      <c r="GV548" s="26"/>
      <c r="GW548" s="26"/>
      <c r="GX548" s="64"/>
      <c r="GY548" s="26"/>
      <c r="GZ548" s="26"/>
      <c r="HA548" s="26"/>
      <c r="HB548" s="26"/>
      <c r="HC548" s="65"/>
      <c r="HD548" s="26"/>
      <c r="HE548" s="26"/>
      <c r="HF548" s="26"/>
      <c r="HG548" s="26"/>
      <c r="HH548" s="65"/>
      <c r="HI548" s="26"/>
      <c r="HJ548" s="26"/>
      <c r="HK548" s="25"/>
      <c r="HL548" s="25"/>
    </row>
    <row r="549" spans="1:220" ht="15.75" customHeight="1" x14ac:dyDescent="0.2">
      <c r="A549" s="58">
        <v>43711.140046296299</v>
      </c>
      <c r="B549" s="32">
        <v>529992</v>
      </c>
      <c r="C549" s="70">
        <v>31</v>
      </c>
      <c r="D549" s="81" t="s">
        <v>590</v>
      </c>
      <c r="E549" s="32">
        <f t="shared" si="18"/>
        <v>0</v>
      </c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8"/>
      <c r="FW549" s="28"/>
      <c r="FX549" s="28"/>
      <c r="FY549" s="26"/>
      <c r="FZ549" s="26"/>
      <c r="GA549" s="26"/>
      <c r="GB549" s="26"/>
      <c r="GC549" s="26"/>
      <c r="GD549" s="26"/>
      <c r="GE549" s="26"/>
      <c r="GF549" s="26"/>
      <c r="GG549" s="26"/>
      <c r="GH549" s="26"/>
      <c r="GI549" s="26"/>
      <c r="GJ549" s="26">
        <v>31</v>
      </c>
      <c r="GK549" s="26"/>
      <c r="GL549" s="65"/>
      <c r="GM549" s="26"/>
      <c r="GN549" s="26"/>
      <c r="GO549" s="26"/>
      <c r="GP549" s="26"/>
      <c r="GQ549" s="26"/>
      <c r="GR549" s="26"/>
      <c r="GS549" s="64"/>
      <c r="GT549" s="26"/>
      <c r="GU549" s="26"/>
      <c r="GV549" s="26"/>
      <c r="GW549" s="26"/>
      <c r="GX549" s="64"/>
      <c r="GY549" s="26"/>
      <c r="GZ549" s="26"/>
      <c r="HA549" s="26"/>
      <c r="HB549" s="26"/>
      <c r="HC549" s="65"/>
      <c r="HD549" s="26"/>
      <c r="HE549" s="26"/>
      <c r="HF549" s="26"/>
      <c r="HG549" s="26"/>
      <c r="HH549" s="65"/>
      <c r="HI549" s="26"/>
      <c r="HJ549" s="26"/>
      <c r="HK549" s="25"/>
      <c r="HL549" s="25"/>
    </row>
    <row r="550" spans="1:220" ht="15.75" customHeight="1" x14ac:dyDescent="0.2">
      <c r="A550" s="58">
        <v>43711.092893518522</v>
      </c>
      <c r="B550" s="32">
        <v>592987</v>
      </c>
      <c r="C550" s="70">
        <v>25.68</v>
      </c>
      <c r="D550" s="81" t="s">
        <v>591</v>
      </c>
      <c r="E550" s="32">
        <f t="shared" si="18"/>
        <v>-1.9999999999999574E-2</v>
      </c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8"/>
      <c r="FW550" s="28"/>
      <c r="FX550" s="28"/>
      <c r="FY550" s="26"/>
      <c r="FZ550" s="26"/>
      <c r="GA550" s="26"/>
      <c r="GB550" s="26"/>
      <c r="GC550" s="26"/>
      <c r="GD550" s="26"/>
      <c r="GE550" s="26"/>
      <c r="GF550" s="26"/>
      <c r="GG550" s="26"/>
      <c r="GH550" s="26"/>
      <c r="GI550" s="26"/>
      <c r="GJ550" s="26">
        <v>25.7</v>
      </c>
      <c r="GK550" s="26"/>
      <c r="GL550" s="65"/>
      <c r="GM550" s="26"/>
      <c r="GN550" s="26"/>
      <c r="GO550" s="26"/>
      <c r="GP550" s="26"/>
      <c r="GQ550" s="26"/>
      <c r="GR550" s="26"/>
      <c r="GS550" s="64"/>
      <c r="GT550" s="26"/>
      <c r="GU550" s="26"/>
      <c r="GV550" s="26"/>
      <c r="GW550" s="26"/>
      <c r="GX550" s="64"/>
      <c r="GY550" s="26"/>
      <c r="GZ550" s="26"/>
      <c r="HA550" s="26"/>
      <c r="HB550" s="26"/>
      <c r="HC550" s="65"/>
      <c r="HD550" s="26"/>
      <c r="HE550" s="26"/>
      <c r="HF550" s="26"/>
      <c r="HG550" s="26"/>
      <c r="HH550" s="65"/>
      <c r="HI550" s="26"/>
      <c r="HJ550" s="26"/>
      <c r="HK550" s="25"/>
      <c r="HL550" s="25"/>
    </row>
    <row r="551" spans="1:220" ht="15.75" customHeight="1" x14ac:dyDescent="0.2">
      <c r="A551" s="58">
        <v>43711.092893518522</v>
      </c>
      <c r="B551" s="32">
        <v>592987</v>
      </c>
      <c r="C551" s="70">
        <v>15.98</v>
      </c>
      <c r="D551" s="81" t="s">
        <v>592</v>
      </c>
      <c r="E551" s="32">
        <f t="shared" si="18"/>
        <v>-1.9999999999999574E-2</v>
      </c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  <c r="FK551" s="25"/>
      <c r="FL551" s="25"/>
      <c r="FM551" s="25"/>
      <c r="FN551" s="25"/>
      <c r="FO551" s="25"/>
      <c r="FP551" s="25"/>
      <c r="FQ551" s="25"/>
      <c r="FR551" s="25"/>
      <c r="FS551" s="25"/>
      <c r="FT551" s="25"/>
      <c r="FU551" s="25"/>
      <c r="FV551" s="28"/>
      <c r="FW551" s="28"/>
      <c r="FX551" s="28"/>
      <c r="FY551" s="26"/>
      <c r="FZ551" s="26"/>
      <c r="GA551" s="26"/>
      <c r="GB551" s="26"/>
      <c r="GC551" s="26"/>
      <c r="GD551" s="26"/>
      <c r="GE551" s="26"/>
      <c r="GF551" s="26"/>
      <c r="GG551" s="26"/>
      <c r="GH551" s="26"/>
      <c r="GI551" s="26"/>
      <c r="GJ551" s="26">
        <v>16</v>
      </c>
      <c r="GK551" s="26"/>
      <c r="GL551" s="65"/>
      <c r="GM551" s="26"/>
      <c r="GN551" s="26"/>
      <c r="GO551" s="26"/>
      <c r="GP551" s="26"/>
      <c r="GQ551" s="26"/>
      <c r="GR551" s="26"/>
      <c r="GS551" s="64"/>
      <c r="GT551" s="26"/>
      <c r="GU551" s="26"/>
      <c r="GV551" s="26"/>
      <c r="GW551" s="26"/>
      <c r="GX551" s="64"/>
      <c r="GY551" s="26"/>
      <c r="GZ551" s="26"/>
      <c r="HA551" s="26"/>
      <c r="HB551" s="26"/>
      <c r="HC551" s="65"/>
      <c r="HD551" s="26"/>
      <c r="HE551" s="26"/>
      <c r="HF551" s="26"/>
      <c r="HG551" s="26"/>
      <c r="HH551" s="65"/>
      <c r="HI551" s="26"/>
      <c r="HJ551" s="26"/>
      <c r="HK551" s="25"/>
      <c r="HL551" s="25"/>
    </row>
    <row r="552" spans="1:220" ht="15.75" customHeight="1" x14ac:dyDescent="0.2">
      <c r="A552" s="58">
        <v>43710.708090277774</v>
      </c>
      <c r="B552" s="32">
        <v>592928</v>
      </c>
      <c r="C552" s="70">
        <v>22.86</v>
      </c>
      <c r="D552" s="81" t="s">
        <v>593</v>
      </c>
      <c r="E552" s="32">
        <f t="shared" si="18"/>
        <v>-3.9999999999999147E-2</v>
      </c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  <c r="FJ552" s="25"/>
      <c r="FK552" s="25"/>
      <c r="FL552" s="25"/>
      <c r="FM552" s="25"/>
      <c r="FN552" s="25"/>
      <c r="FO552" s="25"/>
      <c r="FP552" s="25"/>
      <c r="FQ552" s="25"/>
      <c r="FR552" s="25"/>
      <c r="FS552" s="25"/>
      <c r="FT552" s="25"/>
      <c r="FU552" s="25"/>
      <c r="FV552" s="28"/>
      <c r="FW552" s="28"/>
      <c r="FX552" s="28"/>
      <c r="FY552" s="26"/>
      <c r="FZ552" s="26"/>
      <c r="GA552" s="26"/>
      <c r="GB552" s="26"/>
      <c r="GC552" s="26"/>
      <c r="GD552" s="26"/>
      <c r="GE552" s="26"/>
      <c r="GF552" s="26"/>
      <c r="GG552" s="26"/>
      <c r="GH552" s="26"/>
      <c r="GI552" s="26"/>
      <c r="GJ552" s="26">
        <v>22.9</v>
      </c>
      <c r="GK552" s="26"/>
      <c r="GL552" s="65"/>
      <c r="GM552" s="26"/>
      <c r="GN552" s="26"/>
      <c r="GO552" s="26"/>
      <c r="GP552" s="26"/>
      <c r="GQ552" s="26"/>
      <c r="GR552" s="26"/>
      <c r="GS552" s="64"/>
      <c r="GT552" s="26"/>
      <c r="GU552" s="26"/>
      <c r="GV552" s="26"/>
      <c r="GW552" s="26"/>
      <c r="GX552" s="64"/>
      <c r="GY552" s="26"/>
      <c r="GZ552" s="26"/>
      <c r="HA552" s="26"/>
      <c r="HB552" s="26"/>
      <c r="HC552" s="65"/>
      <c r="HD552" s="26"/>
      <c r="HE552" s="26"/>
      <c r="HF552" s="26"/>
      <c r="HG552" s="26"/>
      <c r="HH552" s="65"/>
      <c r="HI552" s="26"/>
      <c r="HJ552" s="26"/>
      <c r="HK552" s="25"/>
      <c r="HL552" s="25"/>
    </row>
    <row r="553" spans="1:220" ht="15.75" customHeight="1" x14ac:dyDescent="0.2">
      <c r="A553" s="58">
        <v>43710.629699074074</v>
      </c>
      <c r="B553" s="32">
        <v>592918</v>
      </c>
      <c r="C553" s="70">
        <v>100</v>
      </c>
      <c r="D553" s="81" t="s">
        <v>594</v>
      </c>
      <c r="E553" s="32">
        <f t="shared" si="18"/>
        <v>0</v>
      </c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  <c r="FJ553" s="25"/>
      <c r="FK553" s="25"/>
      <c r="FL553" s="25"/>
      <c r="FM553" s="25"/>
      <c r="FN553" s="25"/>
      <c r="FO553" s="25"/>
      <c r="FP553" s="25"/>
      <c r="FQ553" s="25"/>
      <c r="FR553" s="25"/>
      <c r="FS553" s="25"/>
      <c r="FT553" s="25"/>
      <c r="FU553" s="25"/>
      <c r="FV553" s="28"/>
      <c r="FW553" s="28"/>
      <c r="FX553" s="28"/>
      <c r="FY553" s="26"/>
      <c r="FZ553" s="26"/>
      <c r="GA553" s="26"/>
      <c r="GB553" s="26"/>
      <c r="GC553" s="26"/>
      <c r="GD553" s="26"/>
      <c r="GE553" s="26"/>
      <c r="GF553" s="26"/>
      <c r="GG553" s="26"/>
      <c r="GH553" s="26"/>
      <c r="GI553" s="26"/>
      <c r="GJ553" s="26">
        <v>100</v>
      </c>
      <c r="GK553" s="26"/>
      <c r="GL553" s="65"/>
      <c r="GM553" s="26"/>
      <c r="GN553" s="26"/>
      <c r="GO553" s="26"/>
      <c r="GP553" s="26"/>
      <c r="GQ553" s="26"/>
      <c r="GR553" s="26"/>
      <c r="GS553" s="64"/>
      <c r="GT553" s="26"/>
      <c r="GU553" s="26"/>
      <c r="GV553" s="26"/>
      <c r="GW553" s="26"/>
      <c r="GX553" s="64"/>
      <c r="GY553" s="26"/>
      <c r="GZ553" s="26"/>
      <c r="HA553" s="26"/>
      <c r="HB553" s="26"/>
      <c r="HC553" s="65"/>
      <c r="HD553" s="26"/>
      <c r="HE553" s="26"/>
      <c r="HF553" s="26"/>
      <c r="HG553" s="26"/>
      <c r="HH553" s="65"/>
      <c r="HI553" s="26"/>
      <c r="HJ553" s="26"/>
      <c r="HK553" s="25"/>
      <c r="HL553" s="25"/>
    </row>
    <row r="554" spans="1:220" ht="15.75" customHeight="1" x14ac:dyDescent="0.2">
      <c r="A554" s="58">
        <v>43711.082986111112</v>
      </c>
      <c r="B554" s="32">
        <v>592985</v>
      </c>
      <c r="C554" s="70">
        <v>19.850000000000001</v>
      </c>
      <c r="D554" s="81" t="s">
        <v>595</v>
      </c>
      <c r="E554" s="32">
        <f t="shared" si="18"/>
        <v>0</v>
      </c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5"/>
      <c r="FK554" s="25"/>
      <c r="FL554" s="25"/>
      <c r="FM554" s="25"/>
      <c r="FN554" s="25"/>
      <c r="FO554" s="25"/>
      <c r="FP554" s="25"/>
      <c r="FQ554" s="25"/>
      <c r="FR554" s="25"/>
      <c r="FS554" s="25"/>
      <c r="FT554" s="25"/>
      <c r="FU554" s="25"/>
      <c r="FV554" s="28"/>
      <c r="FW554" s="28"/>
      <c r="FX554" s="28"/>
      <c r="FY554" s="26"/>
      <c r="FZ554" s="26"/>
      <c r="GA554" s="26"/>
      <c r="GB554" s="26"/>
      <c r="GC554" s="26"/>
      <c r="GD554" s="26"/>
      <c r="GE554" s="26"/>
      <c r="GF554" s="26"/>
      <c r="GG554" s="26"/>
      <c r="GH554" s="26"/>
      <c r="GI554" s="26"/>
      <c r="GJ554" s="26">
        <v>19.850000000000001</v>
      </c>
      <c r="GK554" s="26"/>
      <c r="GL554" s="65"/>
      <c r="GM554" s="26"/>
      <c r="GN554" s="26"/>
      <c r="GO554" s="26"/>
      <c r="GP554" s="26"/>
      <c r="GQ554" s="26"/>
      <c r="GR554" s="26"/>
      <c r="GS554" s="64"/>
      <c r="GT554" s="26"/>
      <c r="GU554" s="26"/>
      <c r="GV554" s="26"/>
      <c r="GW554" s="26"/>
      <c r="GX554" s="64"/>
      <c r="GY554" s="26"/>
      <c r="GZ554" s="26"/>
      <c r="HA554" s="26"/>
      <c r="HB554" s="26"/>
      <c r="HC554" s="65"/>
      <c r="HD554" s="26"/>
      <c r="HE554" s="26"/>
      <c r="HF554" s="26"/>
      <c r="HG554" s="26"/>
      <c r="HH554" s="65"/>
      <c r="HI554" s="26"/>
      <c r="HJ554" s="26"/>
      <c r="HK554" s="25"/>
      <c r="HL554" s="25"/>
    </row>
    <row r="555" spans="1:220" ht="15.75" customHeight="1" x14ac:dyDescent="0.2">
      <c r="A555" s="58">
        <v>43710.38082175926</v>
      </c>
      <c r="B555" s="32">
        <v>592883</v>
      </c>
      <c r="C555" s="70">
        <v>100</v>
      </c>
      <c r="D555" s="81" t="s">
        <v>596</v>
      </c>
      <c r="E555" s="32">
        <f t="shared" si="18"/>
        <v>0</v>
      </c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  <c r="FJ555" s="25"/>
      <c r="FK555" s="25"/>
      <c r="FL555" s="25"/>
      <c r="FM555" s="25"/>
      <c r="FN555" s="25"/>
      <c r="FO555" s="25"/>
      <c r="FP555" s="25"/>
      <c r="FQ555" s="25"/>
      <c r="FR555" s="25"/>
      <c r="FS555" s="25"/>
      <c r="FT555" s="25"/>
      <c r="FU555" s="25"/>
      <c r="FV555" s="28"/>
      <c r="FW555" s="28"/>
      <c r="FX555" s="28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>
        <v>50</v>
      </c>
      <c r="GK555" s="26">
        <v>50</v>
      </c>
      <c r="GL555" s="65"/>
      <c r="GM555" s="26"/>
      <c r="GN555" s="26"/>
      <c r="GO555" s="26"/>
      <c r="GP555" s="26"/>
      <c r="GQ555" s="26"/>
      <c r="GR555" s="26"/>
      <c r="GS555" s="64"/>
      <c r="GT555" s="26"/>
      <c r="GU555" s="26"/>
      <c r="GV555" s="26"/>
      <c r="GW555" s="26"/>
      <c r="GX555" s="64"/>
      <c r="GY555" s="26"/>
      <c r="GZ555" s="26"/>
      <c r="HA555" s="26"/>
      <c r="HB555" s="26"/>
      <c r="HC555" s="65"/>
      <c r="HD555" s="26"/>
      <c r="HE555" s="26"/>
      <c r="HF555" s="26"/>
      <c r="HG555" s="26"/>
      <c r="HH555" s="65"/>
      <c r="HI555" s="26"/>
      <c r="HJ555" s="26"/>
      <c r="HK555" s="25"/>
      <c r="HL555" s="25"/>
    </row>
    <row r="556" spans="1:220" ht="15.75" customHeight="1" x14ac:dyDescent="0.2">
      <c r="A556" s="58">
        <v>43710.38082175926</v>
      </c>
      <c r="B556" s="32">
        <v>592883</v>
      </c>
      <c r="C556" s="70">
        <v>150</v>
      </c>
      <c r="D556" s="81" t="s">
        <v>597</v>
      </c>
      <c r="E556" s="32">
        <f t="shared" si="18"/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  <c r="FJ556" s="25"/>
      <c r="FK556" s="25"/>
      <c r="FL556" s="25"/>
      <c r="FM556" s="25"/>
      <c r="FN556" s="25"/>
      <c r="FO556" s="25"/>
      <c r="FP556" s="25"/>
      <c r="FQ556" s="25"/>
      <c r="FR556" s="25"/>
      <c r="FS556" s="25"/>
      <c r="FT556" s="25"/>
      <c r="FU556" s="25"/>
      <c r="FV556" s="28"/>
      <c r="FW556" s="28"/>
      <c r="FX556" s="28"/>
      <c r="FY556" s="26"/>
      <c r="FZ556" s="26"/>
      <c r="GA556" s="26"/>
      <c r="GB556" s="26"/>
      <c r="GC556" s="26"/>
      <c r="GD556" s="26"/>
      <c r="GE556" s="26"/>
      <c r="GF556" s="26"/>
      <c r="GG556" s="26"/>
      <c r="GH556" s="26"/>
      <c r="GI556" s="26"/>
      <c r="GJ556" s="26">
        <v>50</v>
      </c>
      <c r="GK556" s="26">
        <v>100</v>
      </c>
      <c r="GL556" s="65"/>
      <c r="GM556" s="26"/>
      <c r="GN556" s="26"/>
      <c r="GO556" s="26"/>
      <c r="GP556" s="26"/>
      <c r="GQ556" s="26"/>
      <c r="GR556" s="26"/>
      <c r="GS556" s="64"/>
      <c r="GT556" s="26"/>
      <c r="GU556" s="26"/>
      <c r="GV556" s="26"/>
      <c r="GW556" s="26"/>
      <c r="GX556" s="64"/>
      <c r="GY556" s="26"/>
      <c r="GZ556" s="26"/>
      <c r="HA556" s="26"/>
      <c r="HB556" s="26"/>
      <c r="HC556" s="65"/>
      <c r="HD556" s="26"/>
      <c r="HE556" s="26"/>
      <c r="HF556" s="26"/>
      <c r="HG556" s="26"/>
      <c r="HH556" s="65"/>
      <c r="HI556" s="26"/>
      <c r="HJ556" s="26"/>
      <c r="HK556" s="25"/>
      <c r="HL556" s="25"/>
    </row>
    <row r="557" spans="1:220" ht="15.75" customHeight="1" x14ac:dyDescent="0.2">
      <c r="A557" s="58">
        <v>43710.38082175926</v>
      </c>
      <c r="B557" s="32">
        <v>592883</v>
      </c>
      <c r="C557" s="70">
        <v>100</v>
      </c>
      <c r="D557" s="81" t="s">
        <v>598</v>
      </c>
      <c r="E557" s="32">
        <f t="shared" si="18"/>
        <v>0</v>
      </c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  <c r="FJ557" s="25"/>
      <c r="FK557" s="25"/>
      <c r="FL557" s="25"/>
      <c r="FM557" s="25"/>
      <c r="FN557" s="25"/>
      <c r="FO557" s="25"/>
      <c r="FP557" s="25"/>
      <c r="FQ557" s="25"/>
      <c r="FR557" s="25"/>
      <c r="FS557" s="25"/>
      <c r="FT557" s="25"/>
      <c r="FU557" s="25"/>
      <c r="FV557" s="28"/>
      <c r="FW557" s="28"/>
      <c r="FX557" s="28"/>
      <c r="FY557" s="26"/>
      <c r="FZ557" s="26"/>
      <c r="GA557" s="26"/>
      <c r="GB557" s="26"/>
      <c r="GC557" s="26"/>
      <c r="GD557" s="26"/>
      <c r="GE557" s="26"/>
      <c r="GF557" s="26"/>
      <c r="GG557" s="26"/>
      <c r="GH557" s="26"/>
      <c r="GI557" s="26"/>
      <c r="GJ557" s="26">
        <v>50</v>
      </c>
      <c r="GK557" s="26">
        <v>50</v>
      </c>
      <c r="GL557" s="65"/>
      <c r="GM557" s="26"/>
      <c r="GN557" s="26"/>
      <c r="GO557" s="26"/>
      <c r="GP557" s="26"/>
      <c r="GQ557" s="26"/>
      <c r="GR557" s="26"/>
      <c r="GS557" s="64"/>
      <c r="GT557" s="26"/>
      <c r="GU557" s="26"/>
      <c r="GV557" s="26"/>
      <c r="GW557" s="26"/>
      <c r="GX557" s="64"/>
      <c r="GY557" s="26"/>
      <c r="GZ557" s="26"/>
      <c r="HA557" s="26"/>
      <c r="HB557" s="26"/>
      <c r="HC557" s="65"/>
      <c r="HD557" s="26"/>
      <c r="HE557" s="26"/>
      <c r="HF557" s="26"/>
      <c r="HG557" s="26"/>
      <c r="HH557" s="65"/>
      <c r="HI557" s="26"/>
      <c r="HJ557" s="26"/>
      <c r="HK557" s="25"/>
      <c r="HL557" s="25"/>
    </row>
    <row r="558" spans="1:220" ht="15.75" customHeight="1" x14ac:dyDescent="0.2">
      <c r="A558" s="58">
        <v>43710.38082175926</v>
      </c>
      <c r="B558" s="32">
        <v>592883</v>
      </c>
      <c r="C558" s="70">
        <v>100</v>
      </c>
      <c r="D558" s="81" t="s">
        <v>599</v>
      </c>
      <c r="E558" s="32">
        <f t="shared" si="18"/>
        <v>0</v>
      </c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  <c r="FJ558" s="25"/>
      <c r="FK558" s="25"/>
      <c r="FL558" s="25"/>
      <c r="FM558" s="25"/>
      <c r="FN558" s="25"/>
      <c r="FO558" s="25"/>
      <c r="FP558" s="25"/>
      <c r="FQ558" s="25"/>
      <c r="FR558" s="25"/>
      <c r="FS558" s="25"/>
      <c r="FT558" s="25"/>
      <c r="FU558" s="25"/>
      <c r="FV558" s="28"/>
      <c r="FW558" s="28"/>
      <c r="FX558" s="28"/>
      <c r="FY558" s="26"/>
      <c r="FZ558" s="26"/>
      <c r="GA558" s="26"/>
      <c r="GB558" s="26"/>
      <c r="GC558" s="26"/>
      <c r="GD558" s="26"/>
      <c r="GE558" s="26"/>
      <c r="GF558" s="26"/>
      <c r="GG558" s="26"/>
      <c r="GH558" s="26"/>
      <c r="GI558" s="26"/>
      <c r="GJ558" s="26">
        <v>50</v>
      </c>
      <c r="GK558" s="26">
        <v>50</v>
      </c>
      <c r="GL558" s="65"/>
      <c r="GM558" s="26"/>
      <c r="GN558" s="26"/>
      <c r="GO558" s="26"/>
      <c r="GP558" s="26"/>
      <c r="GQ558" s="26"/>
      <c r="GR558" s="26"/>
      <c r="GS558" s="64"/>
      <c r="GT558" s="26"/>
      <c r="GU558" s="26"/>
      <c r="GV558" s="26"/>
      <c r="GW558" s="26"/>
      <c r="GX558" s="64"/>
      <c r="GY558" s="26"/>
      <c r="GZ558" s="26"/>
      <c r="HA558" s="26"/>
      <c r="HB558" s="26"/>
      <c r="HC558" s="65"/>
      <c r="HD558" s="26"/>
      <c r="HE558" s="26"/>
      <c r="HF558" s="26"/>
      <c r="HG558" s="26"/>
      <c r="HH558" s="65"/>
      <c r="HI558" s="26"/>
      <c r="HJ558" s="26"/>
      <c r="HK558" s="25"/>
      <c r="HL558" s="25"/>
    </row>
    <row r="559" spans="1:220" ht="15.75" customHeight="1" x14ac:dyDescent="0.2">
      <c r="A559" s="58">
        <v>43710.274074074077</v>
      </c>
      <c r="B559" s="32">
        <v>592865</v>
      </c>
      <c r="C559" s="70">
        <v>90</v>
      </c>
      <c r="D559" s="81" t="s">
        <v>600</v>
      </c>
      <c r="E559" s="32">
        <f t="shared" si="18"/>
        <v>0</v>
      </c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  <c r="FJ559" s="25"/>
      <c r="FK559" s="25"/>
      <c r="FL559" s="25"/>
      <c r="FM559" s="25"/>
      <c r="FN559" s="25"/>
      <c r="FO559" s="25"/>
      <c r="FP559" s="25"/>
      <c r="FQ559" s="25"/>
      <c r="FR559" s="25"/>
      <c r="FS559" s="25"/>
      <c r="FT559" s="25"/>
      <c r="FU559" s="25"/>
      <c r="FV559" s="28"/>
      <c r="FW559" s="28"/>
      <c r="FX559" s="28"/>
      <c r="FY559" s="26"/>
      <c r="FZ559" s="26"/>
      <c r="GA559" s="26"/>
      <c r="GB559" s="26"/>
      <c r="GC559" s="26"/>
      <c r="GD559" s="26"/>
      <c r="GE559" s="26"/>
      <c r="GF559" s="26"/>
      <c r="GG559" s="26"/>
      <c r="GH559" s="26"/>
      <c r="GI559" s="26"/>
      <c r="GJ559" s="26"/>
      <c r="GK559" s="26">
        <v>90</v>
      </c>
      <c r="GL559" s="65"/>
      <c r="GM559" s="26"/>
      <c r="GN559" s="26"/>
      <c r="GO559" s="26"/>
      <c r="GP559" s="26"/>
      <c r="GQ559" s="26"/>
      <c r="GR559" s="26"/>
      <c r="GS559" s="64"/>
      <c r="GT559" s="26"/>
      <c r="GU559" s="26"/>
      <c r="GV559" s="26"/>
      <c r="GW559" s="26"/>
      <c r="GX559" s="64"/>
      <c r="GY559" s="26"/>
      <c r="GZ559" s="26"/>
      <c r="HA559" s="26"/>
      <c r="HB559" s="26"/>
      <c r="HC559" s="65"/>
      <c r="HD559" s="26"/>
      <c r="HE559" s="26"/>
      <c r="HF559" s="26"/>
      <c r="HG559" s="26"/>
      <c r="HH559" s="65"/>
      <c r="HI559" s="26"/>
      <c r="HJ559" s="26"/>
      <c r="HK559" s="25"/>
      <c r="HL559" s="25"/>
    </row>
    <row r="560" spans="1:220" ht="15.75" customHeight="1" x14ac:dyDescent="0.2">
      <c r="A560" s="58">
        <v>43710.26221064815</v>
      </c>
      <c r="B560" s="32">
        <v>592864</v>
      </c>
      <c r="C560" s="70">
        <v>53</v>
      </c>
      <c r="D560" s="81" t="s">
        <v>601</v>
      </c>
      <c r="E560" s="32">
        <f t="shared" si="18"/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  <c r="FJ560" s="25"/>
      <c r="FK560" s="25"/>
      <c r="FL560" s="25"/>
      <c r="FM560" s="25"/>
      <c r="FN560" s="25"/>
      <c r="FO560" s="25"/>
      <c r="FP560" s="25"/>
      <c r="FQ560" s="25"/>
      <c r="FR560" s="25"/>
      <c r="FS560" s="25"/>
      <c r="FT560" s="25"/>
      <c r="FU560" s="25"/>
      <c r="FV560" s="28"/>
      <c r="FW560" s="28"/>
      <c r="FX560" s="28"/>
      <c r="FY560" s="26"/>
      <c r="FZ560" s="26"/>
      <c r="GA560" s="26"/>
      <c r="GB560" s="26"/>
      <c r="GC560" s="26"/>
      <c r="GD560" s="26"/>
      <c r="GE560" s="26"/>
      <c r="GF560" s="26"/>
      <c r="GG560" s="26"/>
      <c r="GH560" s="26"/>
      <c r="GI560" s="26"/>
      <c r="GJ560" s="26"/>
      <c r="GK560" s="26">
        <v>53</v>
      </c>
      <c r="GL560" s="65"/>
      <c r="GM560" s="26"/>
      <c r="GN560" s="26"/>
      <c r="GO560" s="26"/>
      <c r="GP560" s="26"/>
      <c r="GQ560" s="26"/>
      <c r="GR560" s="26"/>
      <c r="GS560" s="64"/>
      <c r="GT560" s="26"/>
      <c r="GU560" s="26"/>
      <c r="GV560" s="26"/>
      <c r="GW560" s="26"/>
      <c r="GX560" s="64"/>
      <c r="GY560" s="26"/>
      <c r="GZ560" s="26"/>
      <c r="HA560" s="26"/>
      <c r="HB560" s="26"/>
      <c r="HC560" s="65"/>
      <c r="HD560" s="26"/>
      <c r="HE560" s="26"/>
      <c r="HF560" s="26"/>
      <c r="HG560" s="26"/>
      <c r="HH560" s="65"/>
      <c r="HI560" s="26"/>
      <c r="HJ560" s="26"/>
      <c r="HK560" s="25"/>
      <c r="HL560" s="25"/>
    </row>
    <row r="561" spans="1:220" ht="15.75" customHeight="1" x14ac:dyDescent="0.2">
      <c r="A561" s="58">
        <v>43710.253703703704</v>
      </c>
      <c r="B561" s="32">
        <v>592862</v>
      </c>
      <c r="C561" s="70">
        <v>28.69</v>
      </c>
      <c r="D561" s="87" t="s">
        <v>602</v>
      </c>
      <c r="E561" s="32">
        <f t="shared" si="18"/>
        <v>0</v>
      </c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  <c r="FJ561" s="25"/>
      <c r="FK561" s="25"/>
      <c r="FL561" s="25"/>
      <c r="FM561" s="25"/>
      <c r="FN561" s="25"/>
      <c r="FO561" s="25"/>
      <c r="FP561" s="25"/>
      <c r="FQ561" s="25"/>
      <c r="FR561" s="25"/>
      <c r="FS561" s="25"/>
      <c r="FT561" s="25"/>
      <c r="FU561" s="25"/>
      <c r="FV561" s="28"/>
      <c r="FW561" s="28"/>
      <c r="FX561" s="28"/>
      <c r="FY561" s="26"/>
      <c r="FZ561" s="26"/>
      <c r="GA561" s="26"/>
      <c r="GB561" s="26"/>
      <c r="GC561" s="26"/>
      <c r="GD561" s="26"/>
      <c r="GE561" s="26"/>
      <c r="GF561" s="26"/>
      <c r="GG561" s="26"/>
      <c r="GH561" s="26"/>
      <c r="GI561" s="26"/>
      <c r="GJ561" s="26"/>
      <c r="GK561" s="26">
        <v>28.69</v>
      </c>
      <c r="GL561" s="65"/>
      <c r="GM561" s="26"/>
      <c r="GN561" s="26"/>
      <c r="GO561" s="26"/>
      <c r="GP561" s="26"/>
      <c r="GQ561" s="26"/>
      <c r="GR561" s="26"/>
      <c r="GS561" s="64"/>
      <c r="GT561" s="26"/>
      <c r="GU561" s="26"/>
      <c r="GV561" s="26"/>
      <c r="GW561" s="26"/>
      <c r="GX561" s="64"/>
      <c r="GY561" s="26"/>
      <c r="GZ561" s="26"/>
      <c r="HA561" s="26"/>
      <c r="HB561" s="26"/>
      <c r="HC561" s="65"/>
      <c r="HD561" s="26"/>
      <c r="HE561" s="26"/>
      <c r="HF561" s="26"/>
      <c r="HG561" s="26"/>
      <c r="HH561" s="65"/>
      <c r="HI561" s="26"/>
      <c r="HJ561" s="26"/>
      <c r="HK561" s="25"/>
      <c r="HL561" s="25"/>
    </row>
    <row r="562" spans="1:220" ht="15.75" customHeight="1" x14ac:dyDescent="0.2">
      <c r="A562" s="58">
        <v>43710.253703703704</v>
      </c>
      <c r="B562" s="32">
        <v>592862</v>
      </c>
      <c r="C562" s="70">
        <v>50</v>
      </c>
      <c r="D562" s="81" t="s">
        <v>603</v>
      </c>
      <c r="E562" s="32">
        <f t="shared" si="18"/>
        <v>0</v>
      </c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  <c r="FJ562" s="25"/>
      <c r="FK562" s="25"/>
      <c r="FL562" s="25"/>
      <c r="FM562" s="25"/>
      <c r="FN562" s="25"/>
      <c r="FO562" s="25"/>
      <c r="FP562" s="25"/>
      <c r="FQ562" s="25"/>
      <c r="FR562" s="25"/>
      <c r="FS562" s="25"/>
      <c r="FT562" s="25"/>
      <c r="FU562" s="25"/>
      <c r="FV562" s="28"/>
      <c r="FW562" s="28"/>
      <c r="FX562" s="28"/>
      <c r="FY562" s="26"/>
      <c r="FZ562" s="26"/>
      <c r="GA562" s="26"/>
      <c r="GB562" s="26"/>
      <c r="GC562" s="26"/>
      <c r="GD562" s="26"/>
      <c r="GE562" s="26"/>
      <c r="GF562" s="26"/>
      <c r="GG562" s="26"/>
      <c r="GH562" s="26"/>
      <c r="GI562" s="26"/>
      <c r="GJ562" s="26"/>
      <c r="GK562" s="26">
        <v>50</v>
      </c>
      <c r="GL562" s="65"/>
      <c r="GM562" s="26"/>
      <c r="GN562" s="26"/>
      <c r="GO562" s="26"/>
      <c r="GP562" s="26"/>
      <c r="GQ562" s="26"/>
      <c r="GR562" s="26"/>
      <c r="GS562" s="64"/>
      <c r="GT562" s="26"/>
      <c r="GU562" s="26"/>
      <c r="GV562" s="26"/>
      <c r="GW562" s="26"/>
      <c r="GX562" s="64"/>
      <c r="GY562" s="26"/>
      <c r="GZ562" s="26"/>
      <c r="HA562" s="26"/>
      <c r="HB562" s="26"/>
      <c r="HC562" s="65"/>
      <c r="HD562" s="26"/>
      <c r="HE562" s="26"/>
      <c r="HF562" s="26"/>
      <c r="HG562" s="26"/>
      <c r="HH562" s="65"/>
      <c r="HI562" s="26"/>
      <c r="HJ562" s="26"/>
      <c r="HK562" s="25"/>
      <c r="HL562" s="25"/>
    </row>
    <row r="563" spans="1:220" ht="15.75" customHeight="1" x14ac:dyDescent="0.2">
      <c r="A563" s="58">
        <v>43710.253703703704</v>
      </c>
      <c r="B563" s="32">
        <v>592862</v>
      </c>
      <c r="C563" s="70">
        <v>30</v>
      </c>
      <c r="D563" s="87" t="s">
        <v>604</v>
      </c>
      <c r="E563" s="32">
        <f t="shared" si="18"/>
        <v>0</v>
      </c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  <c r="FJ563" s="25"/>
      <c r="FK563" s="25"/>
      <c r="FL563" s="25"/>
      <c r="FM563" s="25"/>
      <c r="FN563" s="25"/>
      <c r="FO563" s="25"/>
      <c r="FP563" s="25"/>
      <c r="FQ563" s="25"/>
      <c r="FR563" s="25"/>
      <c r="FS563" s="25"/>
      <c r="FT563" s="25"/>
      <c r="FU563" s="25"/>
      <c r="FV563" s="28"/>
      <c r="FW563" s="28"/>
      <c r="FX563" s="28"/>
      <c r="FY563" s="26"/>
      <c r="FZ563" s="26"/>
      <c r="GA563" s="26"/>
      <c r="GB563" s="26"/>
      <c r="GC563" s="26"/>
      <c r="GD563" s="26"/>
      <c r="GE563" s="26"/>
      <c r="GF563" s="26"/>
      <c r="GG563" s="26"/>
      <c r="GH563" s="26"/>
      <c r="GI563" s="26"/>
      <c r="GJ563" s="26"/>
      <c r="GK563" s="26">
        <v>30</v>
      </c>
      <c r="GL563" s="65"/>
      <c r="GM563" s="26"/>
      <c r="GN563" s="26"/>
      <c r="GO563" s="26"/>
      <c r="GP563" s="26"/>
      <c r="GQ563" s="26"/>
      <c r="GR563" s="26"/>
      <c r="GS563" s="64"/>
      <c r="GT563" s="26"/>
      <c r="GU563" s="26"/>
      <c r="GV563" s="26"/>
      <c r="GW563" s="26"/>
      <c r="GX563" s="64"/>
      <c r="GY563" s="26"/>
      <c r="GZ563" s="26"/>
      <c r="HA563" s="26"/>
      <c r="HB563" s="26"/>
      <c r="HC563" s="65"/>
      <c r="HD563" s="26"/>
      <c r="HE563" s="26"/>
      <c r="HF563" s="26"/>
      <c r="HG563" s="26"/>
      <c r="HH563" s="65"/>
      <c r="HI563" s="26"/>
      <c r="HJ563" s="26"/>
      <c r="HK563" s="25"/>
      <c r="HL563" s="25"/>
    </row>
    <row r="564" spans="1:220" ht="15.75" customHeight="1" x14ac:dyDescent="0.2">
      <c r="A564" s="58">
        <v>43710.235115740739</v>
      </c>
      <c r="B564" s="32">
        <v>592860</v>
      </c>
      <c r="C564" s="70">
        <v>98</v>
      </c>
      <c r="D564" s="87" t="s">
        <v>605</v>
      </c>
      <c r="E564" s="32">
        <f t="shared" si="18"/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  <c r="FK564" s="25"/>
      <c r="FL564" s="25"/>
      <c r="FM564" s="25"/>
      <c r="FN564" s="25"/>
      <c r="FO564" s="25"/>
      <c r="FP564" s="25"/>
      <c r="FQ564" s="25"/>
      <c r="FR564" s="25"/>
      <c r="FS564" s="25"/>
      <c r="FT564" s="25"/>
      <c r="FU564" s="25"/>
      <c r="FV564" s="28"/>
      <c r="FW564" s="28"/>
      <c r="FX564" s="28"/>
      <c r="FY564" s="26"/>
      <c r="FZ564" s="26"/>
      <c r="GA564" s="26"/>
      <c r="GB564" s="26"/>
      <c r="GC564" s="26"/>
      <c r="GD564" s="26"/>
      <c r="GE564" s="26"/>
      <c r="GF564" s="26"/>
      <c r="GG564" s="26"/>
      <c r="GH564" s="26"/>
      <c r="GI564" s="26"/>
      <c r="GJ564" s="26"/>
      <c r="GK564" s="26">
        <v>98</v>
      </c>
      <c r="GL564" s="65"/>
      <c r="GM564" s="26"/>
      <c r="GN564" s="26"/>
      <c r="GO564" s="26"/>
      <c r="GP564" s="26"/>
      <c r="GQ564" s="26"/>
      <c r="GR564" s="26"/>
      <c r="GS564" s="64"/>
      <c r="GT564" s="26"/>
      <c r="GU564" s="26"/>
      <c r="GV564" s="26"/>
      <c r="GW564" s="26"/>
      <c r="GX564" s="64"/>
      <c r="GY564" s="26"/>
      <c r="GZ564" s="26"/>
      <c r="HA564" s="26"/>
      <c r="HB564" s="26"/>
      <c r="HC564" s="65"/>
      <c r="HD564" s="26"/>
      <c r="HE564" s="26"/>
      <c r="HF564" s="26"/>
      <c r="HG564" s="26"/>
      <c r="HH564" s="65"/>
      <c r="HI564" s="26"/>
      <c r="HJ564" s="26"/>
      <c r="HK564" s="25"/>
      <c r="HL564" s="25"/>
    </row>
    <row r="565" spans="1:220" ht="15.75" customHeight="1" x14ac:dyDescent="0.2">
      <c r="A565" s="58">
        <v>43710.180324074077</v>
      </c>
      <c r="B565" s="32">
        <v>592853</v>
      </c>
      <c r="C565" s="70">
        <v>97</v>
      </c>
      <c r="D565" s="81" t="s">
        <v>606</v>
      </c>
      <c r="E565" s="32">
        <f t="shared" si="18"/>
        <v>0</v>
      </c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  <c r="FJ565" s="25"/>
      <c r="FK565" s="25"/>
      <c r="FL565" s="25"/>
      <c r="FM565" s="25"/>
      <c r="FN565" s="25"/>
      <c r="FO565" s="25"/>
      <c r="FP565" s="25"/>
      <c r="FQ565" s="25"/>
      <c r="FR565" s="25"/>
      <c r="FS565" s="25"/>
      <c r="FT565" s="25"/>
      <c r="FU565" s="25"/>
      <c r="FV565" s="28"/>
      <c r="FW565" s="28"/>
      <c r="FX565" s="28"/>
      <c r="FY565" s="26"/>
      <c r="FZ565" s="26"/>
      <c r="GA565" s="26"/>
      <c r="GB565" s="26"/>
      <c r="GC565" s="26"/>
      <c r="GD565" s="26"/>
      <c r="GE565" s="26"/>
      <c r="GF565" s="26"/>
      <c r="GG565" s="26"/>
      <c r="GH565" s="26"/>
      <c r="GI565" s="26"/>
      <c r="GJ565" s="26"/>
      <c r="GK565" s="26">
        <v>97</v>
      </c>
      <c r="GL565" s="65"/>
      <c r="GM565" s="26"/>
      <c r="GN565" s="26"/>
      <c r="GO565" s="26"/>
      <c r="GP565" s="26"/>
      <c r="GQ565" s="26"/>
      <c r="GR565" s="26"/>
      <c r="GS565" s="64"/>
      <c r="GT565" s="26"/>
      <c r="GU565" s="26"/>
      <c r="GV565" s="26"/>
      <c r="GW565" s="26"/>
      <c r="GX565" s="64"/>
      <c r="GY565" s="26"/>
      <c r="GZ565" s="26"/>
      <c r="HA565" s="26"/>
      <c r="HB565" s="26"/>
      <c r="HC565" s="65"/>
      <c r="HD565" s="26"/>
      <c r="HE565" s="26"/>
      <c r="HF565" s="26"/>
      <c r="HG565" s="26"/>
      <c r="HH565" s="65"/>
      <c r="HI565" s="26"/>
      <c r="HJ565" s="26"/>
      <c r="HK565" s="25"/>
      <c r="HL565" s="25"/>
    </row>
    <row r="566" spans="1:220" ht="15.75" customHeight="1" x14ac:dyDescent="0.2">
      <c r="A566" s="58">
        <v>43710.157361111109</v>
      </c>
      <c r="B566" s="32">
        <v>592851</v>
      </c>
      <c r="C566" s="70">
        <v>95</v>
      </c>
      <c r="D566" s="87" t="s">
        <v>607</v>
      </c>
      <c r="E566" s="32">
        <f t="shared" si="18"/>
        <v>0</v>
      </c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  <c r="FJ566" s="25"/>
      <c r="FK566" s="25"/>
      <c r="FL566" s="25"/>
      <c r="FM566" s="25"/>
      <c r="FN566" s="25"/>
      <c r="FO566" s="25"/>
      <c r="FP566" s="25"/>
      <c r="FQ566" s="25"/>
      <c r="FR566" s="25"/>
      <c r="FS566" s="25"/>
      <c r="FT566" s="25"/>
      <c r="FU566" s="25"/>
      <c r="FV566" s="28"/>
      <c r="FW566" s="28"/>
      <c r="FX566" s="28"/>
      <c r="FY566" s="26"/>
      <c r="FZ566" s="26"/>
      <c r="GA566" s="26"/>
      <c r="GB566" s="26"/>
      <c r="GC566" s="26"/>
      <c r="GD566" s="26"/>
      <c r="GE566" s="26"/>
      <c r="GF566" s="26"/>
      <c r="GG566" s="26"/>
      <c r="GH566" s="26"/>
      <c r="GI566" s="26"/>
      <c r="GJ566" s="26"/>
      <c r="GK566" s="26">
        <v>95</v>
      </c>
      <c r="GL566" s="65"/>
      <c r="GM566" s="26"/>
      <c r="GN566" s="26"/>
      <c r="GO566" s="26"/>
      <c r="GP566" s="26"/>
      <c r="GQ566" s="26"/>
      <c r="GR566" s="26"/>
      <c r="GS566" s="64"/>
      <c r="GT566" s="26"/>
      <c r="GU566" s="26"/>
      <c r="GV566" s="26"/>
      <c r="GW566" s="26"/>
      <c r="GX566" s="64"/>
      <c r="GY566" s="26"/>
      <c r="GZ566" s="26"/>
      <c r="HA566" s="26"/>
      <c r="HB566" s="26"/>
      <c r="HC566" s="65"/>
      <c r="HD566" s="26"/>
      <c r="HE566" s="26"/>
      <c r="HF566" s="26"/>
      <c r="HG566" s="26"/>
      <c r="HH566" s="65"/>
      <c r="HI566" s="26"/>
      <c r="HJ566" s="26"/>
      <c r="HK566" s="25"/>
      <c r="HL566" s="25"/>
    </row>
    <row r="567" spans="1:220" ht="15.75" customHeight="1" x14ac:dyDescent="0.2">
      <c r="A567" s="58">
        <v>43710.144444444442</v>
      </c>
      <c r="B567" s="32">
        <v>592850</v>
      </c>
      <c r="C567" s="70">
        <v>30</v>
      </c>
      <c r="D567" s="81" t="s">
        <v>608</v>
      </c>
      <c r="E567" s="32">
        <f t="shared" si="18"/>
        <v>0</v>
      </c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  <c r="FJ567" s="25"/>
      <c r="FK567" s="25"/>
      <c r="FL567" s="25"/>
      <c r="FM567" s="25"/>
      <c r="FN567" s="25"/>
      <c r="FO567" s="25"/>
      <c r="FP567" s="25"/>
      <c r="FQ567" s="25"/>
      <c r="FR567" s="25"/>
      <c r="FS567" s="25"/>
      <c r="FT567" s="25"/>
      <c r="FU567" s="25"/>
      <c r="FV567" s="28"/>
      <c r="FW567" s="28"/>
      <c r="FX567" s="28"/>
      <c r="FY567" s="26"/>
      <c r="FZ567" s="26"/>
      <c r="GA567" s="26"/>
      <c r="GB567" s="26"/>
      <c r="GC567" s="26"/>
      <c r="GD567" s="26"/>
      <c r="GE567" s="26"/>
      <c r="GF567" s="26"/>
      <c r="GG567" s="26"/>
      <c r="GH567" s="26"/>
      <c r="GI567" s="26"/>
      <c r="GJ567" s="26"/>
      <c r="GK567" s="26">
        <v>30</v>
      </c>
      <c r="GL567" s="65"/>
      <c r="GM567" s="26"/>
      <c r="GN567" s="26"/>
      <c r="GO567" s="26"/>
      <c r="GP567" s="26"/>
      <c r="GQ567" s="26"/>
      <c r="GR567" s="26"/>
      <c r="GS567" s="64"/>
      <c r="GT567" s="26"/>
      <c r="GU567" s="26"/>
      <c r="GV567" s="26"/>
      <c r="GW567" s="26"/>
      <c r="GX567" s="64"/>
      <c r="GY567" s="26"/>
      <c r="GZ567" s="26"/>
      <c r="HA567" s="26"/>
      <c r="HB567" s="26"/>
      <c r="HC567" s="65"/>
      <c r="HD567" s="26"/>
      <c r="HE567" s="26"/>
      <c r="HF567" s="26"/>
      <c r="HG567" s="26"/>
      <c r="HH567" s="65"/>
      <c r="HI567" s="26"/>
      <c r="HJ567" s="26"/>
      <c r="HK567" s="25"/>
      <c r="HL567" s="25"/>
    </row>
    <row r="568" spans="1:220" ht="15.75" customHeight="1" x14ac:dyDescent="0.2">
      <c r="A568" s="58">
        <v>43710.078240740739</v>
      </c>
      <c r="B568" s="32">
        <v>592836</v>
      </c>
      <c r="C568" s="70">
        <v>31.12</v>
      </c>
      <c r="D568" s="81" t="s">
        <v>609</v>
      </c>
      <c r="E568" s="32">
        <f t="shared" si="18"/>
        <v>1.9999999999999574E-2</v>
      </c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  <c r="FJ568" s="25"/>
      <c r="FK568" s="25"/>
      <c r="FL568" s="25"/>
      <c r="FM568" s="25"/>
      <c r="FN568" s="25"/>
      <c r="FO568" s="25"/>
      <c r="FP568" s="25"/>
      <c r="FQ568" s="25"/>
      <c r="FR568" s="25"/>
      <c r="FS568" s="25"/>
      <c r="FT568" s="25"/>
      <c r="FU568" s="25"/>
      <c r="FV568" s="28"/>
      <c r="FW568" s="28"/>
      <c r="FX568" s="28"/>
      <c r="FY568" s="26"/>
      <c r="FZ568" s="26"/>
      <c r="GA568" s="26"/>
      <c r="GB568" s="26"/>
      <c r="GC568" s="26"/>
      <c r="GD568" s="26"/>
      <c r="GE568" s="26"/>
      <c r="GF568" s="26"/>
      <c r="GG568" s="26"/>
      <c r="GH568" s="26"/>
      <c r="GI568" s="26"/>
      <c r="GJ568" s="26"/>
      <c r="GK568" s="26">
        <v>31.1</v>
      </c>
      <c r="GL568" s="65"/>
      <c r="GM568" s="26"/>
      <c r="GN568" s="26"/>
      <c r="GO568" s="26"/>
      <c r="GP568" s="26"/>
      <c r="GQ568" s="26"/>
      <c r="GR568" s="26"/>
      <c r="GS568" s="64"/>
      <c r="GT568" s="26"/>
      <c r="GU568" s="26"/>
      <c r="GV568" s="26"/>
      <c r="GW568" s="26"/>
      <c r="GX568" s="64"/>
      <c r="GY568" s="26"/>
      <c r="GZ568" s="26"/>
      <c r="HA568" s="26"/>
      <c r="HB568" s="26"/>
      <c r="HC568" s="65"/>
      <c r="HD568" s="26"/>
      <c r="HE568" s="26"/>
      <c r="HF568" s="26"/>
      <c r="HG568" s="26"/>
      <c r="HH568" s="65"/>
      <c r="HI568" s="26"/>
      <c r="HJ568" s="26"/>
      <c r="HK568" s="25"/>
      <c r="HL568" s="25"/>
    </row>
    <row r="569" spans="1:220" ht="15.75" customHeight="1" x14ac:dyDescent="0.2">
      <c r="A569" s="58">
        <v>43709.563217592593</v>
      </c>
      <c r="B569" s="32">
        <v>592764</v>
      </c>
      <c r="C569" s="70">
        <v>50</v>
      </c>
      <c r="D569" s="81" t="s">
        <v>610</v>
      </c>
      <c r="E569" s="32">
        <f t="shared" si="18"/>
        <v>0</v>
      </c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  <c r="FJ569" s="25"/>
      <c r="FK569" s="25"/>
      <c r="FL569" s="25"/>
      <c r="FM569" s="25"/>
      <c r="FN569" s="25"/>
      <c r="FO569" s="25"/>
      <c r="FP569" s="25"/>
      <c r="FQ569" s="25"/>
      <c r="FR569" s="25"/>
      <c r="FS569" s="25"/>
      <c r="FT569" s="25"/>
      <c r="FU569" s="25"/>
      <c r="FV569" s="28"/>
      <c r="FW569" s="28"/>
      <c r="FX569" s="28"/>
      <c r="FY569" s="26"/>
      <c r="FZ569" s="26"/>
      <c r="GA569" s="26"/>
      <c r="GB569" s="26"/>
      <c r="GC569" s="26"/>
      <c r="GD569" s="26"/>
      <c r="GE569" s="26"/>
      <c r="GF569" s="26"/>
      <c r="GG569" s="26"/>
      <c r="GH569" s="26"/>
      <c r="GI569" s="26"/>
      <c r="GJ569" s="26"/>
      <c r="GK569" s="26"/>
      <c r="GL569" s="26">
        <v>50</v>
      </c>
      <c r="GM569" s="26"/>
      <c r="GN569" s="26"/>
      <c r="GO569" s="26"/>
      <c r="GP569" s="26"/>
      <c r="GQ569" s="26"/>
      <c r="GR569" s="26"/>
      <c r="GS569" s="64"/>
      <c r="GT569" s="26"/>
      <c r="GU569" s="26"/>
      <c r="GV569" s="26"/>
      <c r="GW569" s="26"/>
      <c r="GX569" s="64"/>
      <c r="GY569" s="26"/>
      <c r="GZ569" s="26"/>
      <c r="HA569" s="26"/>
      <c r="HB569" s="26"/>
      <c r="HC569" s="65"/>
      <c r="HD569" s="26"/>
      <c r="HE569" s="26"/>
      <c r="HF569" s="26"/>
      <c r="HG569" s="26"/>
      <c r="HH569" s="65"/>
      <c r="HI569" s="26"/>
      <c r="HJ569" s="26"/>
      <c r="HK569" s="25"/>
      <c r="HL569" s="25"/>
    </row>
    <row r="570" spans="1:220" ht="15.75" customHeight="1" x14ac:dyDescent="0.2">
      <c r="A570" s="58">
        <v>43709.449664351851</v>
      </c>
      <c r="B570" s="32">
        <v>592749</v>
      </c>
      <c r="C570" s="70">
        <v>30</v>
      </c>
      <c r="D570" s="81" t="s">
        <v>611</v>
      </c>
      <c r="E570" s="32">
        <f t="shared" si="18"/>
        <v>0</v>
      </c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  <c r="FJ570" s="25"/>
      <c r="FK570" s="25"/>
      <c r="FL570" s="25"/>
      <c r="FM570" s="25"/>
      <c r="FN570" s="25"/>
      <c r="FO570" s="25"/>
      <c r="FP570" s="25"/>
      <c r="FQ570" s="25"/>
      <c r="FR570" s="25"/>
      <c r="FS570" s="25"/>
      <c r="FT570" s="25"/>
      <c r="FU570" s="25"/>
      <c r="FV570" s="28"/>
      <c r="FW570" s="28"/>
      <c r="FX570" s="28"/>
      <c r="FY570" s="26"/>
      <c r="FZ570" s="26"/>
      <c r="GA570" s="26"/>
      <c r="GB570" s="26"/>
      <c r="GC570" s="26"/>
      <c r="GD570" s="26"/>
      <c r="GE570" s="26"/>
      <c r="GF570" s="26"/>
      <c r="GG570" s="26"/>
      <c r="GH570" s="26"/>
      <c r="GI570" s="26"/>
      <c r="GJ570" s="26"/>
      <c r="GK570" s="26"/>
      <c r="GL570" s="26">
        <v>30</v>
      </c>
      <c r="GM570" s="26"/>
      <c r="GN570" s="26"/>
      <c r="GO570" s="26"/>
      <c r="GP570" s="26"/>
      <c r="GQ570" s="26"/>
      <c r="GR570" s="26"/>
      <c r="GS570" s="64"/>
      <c r="GT570" s="26"/>
      <c r="GU570" s="26"/>
      <c r="GV570" s="26"/>
      <c r="GW570" s="26"/>
      <c r="GX570" s="64"/>
      <c r="GY570" s="26"/>
      <c r="GZ570" s="26"/>
      <c r="HA570" s="26"/>
      <c r="HB570" s="26"/>
      <c r="HC570" s="65"/>
      <c r="HD570" s="26"/>
      <c r="HE570" s="26"/>
      <c r="HF570" s="26"/>
      <c r="HG570" s="26"/>
      <c r="HH570" s="65"/>
      <c r="HI570" s="26"/>
      <c r="HJ570" s="26"/>
      <c r="HK570" s="25"/>
      <c r="HL570" s="25"/>
    </row>
    <row r="571" spans="1:220" ht="15.75" customHeight="1" x14ac:dyDescent="0.2">
      <c r="A571" s="58">
        <v>43709.366261574076</v>
      </c>
      <c r="B571" s="32">
        <v>592736</v>
      </c>
      <c r="C571" s="70">
        <v>50</v>
      </c>
      <c r="D571" s="81" t="s">
        <v>612</v>
      </c>
      <c r="E571" s="32">
        <f t="shared" si="18"/>
        <v>0</v>
      </c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  <c r="FJ571" s="25"/>
      <c r="FK571" s="25"/>
      <c r="FL571" s="25"/>
      <c r="FM571" s="25"/>
      <c r="FN571" s="25"/>
      <c r="FO571" s="25"/>
      <c r="FP571" s="25"/>
      <c r="FQ571" s="25"/>
      <c r="FR571" s="25"/>
      <c r="FS571" s="25"/>
      <c r="FT571" s="25"/>
      <c r="FU571" s="25"/>
      <c r="FV571" s="28"/>
      <c r="FW571" s="28"/>
      <c r="FX571" s="28"/>
      <c r="FY571" s="26"/>
      <c r="FZ571" s="26"/>
      <c r="GA571" s="26"/>
      <c r="GB571" s="26"/>
      <c r="GC571" s="26"/>
      <c r="GD571" s="26"/>
      <c r="GE571" s="26"/>
      <c r="GF571" s="26"/>
      <c r="GG571" s="26"/>
      <c r="GH571" s="26"/>
      <c r="GI571" s="26"/>
      <c r="GJ571" s="26"/>
      <c r="GK571" s="26"/>
      <c r="GL571" s="65">
        <v>50</v>
      </c>
      <c r="GM571" s="26"/>
      <c r="GN571" s="26"/>
      <c r="GO571" s="26"/>
      <c r="GP571" s="26"/>
      <c r="GQ571" s="26"/>
      <c r="GR571" s="26"/>
      <c r="GS571" s="64"/>
      <c r="GT571" s="26"/>
      <c r="GU571" s="26"/>
      <c r="GV571" s="26"/>
      <c r="GW571" s="26"/>
      <c r="GX571" s="64"/>
      <c r="GY571" s="26"/>
      <c r="GZ571" s="26"/>
      <c r="HA571" s="26"/>
      <c r="HB571" s="26"/>
      <c r="HC571" s="65"/>
      <c r="HD571" s="26"/>
      <c r="HE571" s="26"/>
      <c r="HF571" s="26"/>
      <c r="HG571" s="26"/>
      <c r="HH571" s="65"/>
      <c r="HI571" s="26"/>
      <c r="HJ571" s="26"/>
      <c r="HK571" s="25"/>
      <c r="HL571" s="25"/>
    </row>
    <row r="572" spans="1:220" ht="15.75" customHeight="1" x14ac:dyDescent="0.2">
      <c r="A572" s="58">
        <v>43709.345833333333</v>
      </c>
      <c r="B572" s="32">
        <v>592733</v>
      </c>
      <c r="C572" s="70">
        <v>56</v>
      </c>
      <c r="D572" s="81" t="s">
        <v>613</v>
      </c>
      <c r="E572" s="32">
        <f t="shared" si="18"/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  <c r="FJ572" s="25"/>
      <c r="FK572" s="25"/>
      <c r="FL572" s="25"/>
      <c r="FM572" s="25"/>
      <c r="FN572" s="25"/>
      <c r="FO572" s="25"/>
      <c r="FP572" s="25"/>
      <c r="FQ572" s="25"/>
      <c r="FR572" s="25"/>
      <c r="FS572" s="25"/>
      <c r="FT572" s="25"/>
      <c r="FU572" s="25"/>
      <c r="FV572" s="28"/>
      <c r="FW572" s="28"/>
      <c r="FX572" s="28"/>
      <c r="FY572" s="26"/>
      <c r="FZ572" s="26"/>
      <c r="GA572" s="26"/>
      <c r="GB572" s="26"/>
      <c r="GC572" s="26"/>
      <c r="GD572" s="26"/>
      <c r="GE572" s="26"/>
      <c r="GF572" s="26"/>
      <c r="GG572" s="26"/>
      <c r="GH572" s="26"/>
      <c r="GI572" s="26"/>
      <c r="GJ572" s="26"/>
      <c r="GK572" s="26"/>
      <c r="GL572" s="65">
        <v>56</v>
      </c>
      <c r="GM572" s="26"/>
      <c r="GN572" s="26"/>
      <c r="GO572" s="26"/>
      <c r="GP572" s="26"/>
      <c r="GQ572" s="26"/>
      <c r="GR572" s="26"/>
      <c r="GS572" s="64"/>
      <c r="GT572" s="26"/>
      <c r="GU572" s="26"/>
      <c r="GV572" s="26"/>
      <c r="GW572" s="26"/>
      <c r="GX572" s="64"/>
      <c r="GY572" s="26"/>
      <c r="GZ572" s="26"/>
      <c r="HA572" s="26"/>
      <c r="HB572" s="26"/>
      <c r="HC572" s="65"/>
      <c r="HD572" s="26"/>
      <c r="HE572" s="26"/>
      <c r="HF572" s="26"/>
      <c r="HG572" s="26"/>
      <c r="HH572" s="65"/>
      <c r="HI572" s="26"/>
      <c r="HJ572" s="26"/>
      <c r="HK572" s="25"/>
      <c r="HL572" s="25"/>
    </row>
    <row r="573" spans="1:220" ht="15.75" customHeight="1" x14ac:dyDescent="0.2">
      <c r="A573" s="58">
        <v>43709.338923611111</v>
      </c>
      <c r="B573" s="32">
        <v>592732</v>
      </c>
      <c r="C573" s="70">
        <v>54</v>
      </c>
      <c r="D573" s="81" t="s">
        <v>614</v>
      </c>
      <c r="E573" s="32">
        <f t="shared" ref="E573:E636" si="19">C573-SUM(AN573:HK573)</f>
        <v>0</v>
      </c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  <c r="FJ573" s="25"/>
      <c r="FK573" s="25"/>
      <c r="FL573" s="25"/>
      <c r="FM573" s="25"/>
      <c r="FN573" s="25"/>
      <c r="FO573" s="25"/>
      <c r="FP573" s="25"/>
      <c r="FQ573" s="25"/>
      <c r="FR573" s="25"/>
      <c r="FS573" s="25"/>
      <c r="FT573" s="25"/>
      <c r="FU573" s="25"/>
      <c r="FV573" s="28"/>
      <c r="FW573" s="28"/>
      <c r="FX573" s="28"/>
      <c r="FY573" s="26"/>
      <c r="FZ573" s="26"/>
      <c r="GA573" s="26"/>
      <c r="GB573" s="26"/>
      <c r="GC573" s="26"/>
      <c r="GD573" s="26"/>
      <c r="GE573" s="26"/>
      <c r="GF573" s="26"/>
      <c r="GG573" s="26"/>
      <c r="GH573" s="26"/>
      <c r="GI573" s="26"/>
      <c r="GJ573" s="26"/>
      <c r="GK573" s="26"/>
      <c r="GL573" s="65">
        <v>54</v>
      </c>
      <c r="GM573" s="26"/>
      <c r="GN573" s="26"/>
      <c r="GO573" s="26"/>
      <c r="GP573" s="26"/>
      <c r="GQ573" s="26"/>
      <c r="GR573" s="26"/>
      <c r="GS573" s="64"/>
      <c r="GT573" s="26"/>
      <c r="GU573" s="26"/>
      <c r="GV573" s="26"/>
      <c r="GW573" s="26"/>
      <c r="GX573" s="64"/>
      <c r="GY573" s="26"/>
      <c r="GZ573" s="26"/>
      <c r="HA573" s="26"/>
      <c r="HB573" s="26"/>
      <c r="HC573" s="65"/>
      <c r="HD573" s="26"/>
      <c r="HE573" s="26"/>
      <c r="HF573" s="26"/>
      <c r="HG573" s="26"/>
      <c r="HH573" s="65"/>
      <c r="HI573" s="26"/>
      <c r="HJ573" s="26"/>
      <c r="HK573" s="25"/>
      <c r="HL573" s="25"/>
    </row>
    <row r="574" spans="1:220" ht="15.75" customHeight="1" x14ac:dyDescent="0.2">
      <c r="A574" s="58">
        <v>43709.338923611111</v>
      </c>
      <c r="B574" s="32">
        <v>592732</v>
      </c>
      <c r="C574" s="70">
        <v>50</v>
      </c>
      <c r="D574" s="81" t="s">
        <v>615</v>
      </c>
      <c r="E574" s="32">
        <f t="shared" si="19"/>
        <v>0</v>
      </c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  <c r="FJ574" s="25"/>
      <c r="FK574" s="25"/>
      <c r="FL574" s="25"/>
      <c r="FM574" s="25"/>
      <c r="FN574" s="25"/>
      <c r="FO574" s="25"/>
      <c r="FP574" s="25"/>
      <c r="FQ574" s="25"/>
      <c r="FR574" s="25"/>
      <c r="FS574" s="25"/>
      <c r="FT574" s="25"/>
      <c r="FU574" s="25"/>
      <c r="FV574" s="28"/>
      <c r="FW574" s="28"/>
      <c r="FX574" s="28"/>
      <c r="FY574" s="26"/>
      <c r="FZ574" s="26"/>
      <c r="GA574" s="26"/>
      <c r="GB574" s="26"/>
      <c r="GC574" s="26"/>
      <c r="GD574" s="26"/>
      <c r="GE574" s="26"/>
      <c r="GF574" s="26"/>
      <c r="GG574" s="26"/>
      <c r="GH574" s="26"/>
      <c r="GI574" s="26"/>
      <c r="GJ574" s="26"/>
      <c r="GK574" s="26"/>
      <c r="GL574" s="65">
        <v>50</v>
      </c>
      <c r="GM574" s="26"/>
      <c r="GN574" s="26"/>
      <c r="GO574" s="26"/>
      <c r="GP574" s="26"/>
      <c r="GQ574" s="26"/>
      <c r="GR574" s="26"/>
      <c r="GS574" s="64"/>
      <c r="GT574" s="26"/>
      <c r="GU574" s="26"/>
      <c r="GV574" s="26"/>
      <c r="GW574" s="26"/>
      <c r="GX574" s="64"/>
      <c r="GY574" s="26"/>
      <c r="GZ574" s="26"/>
      <c r="HA574" s="26"/>
      <c r="HB574" s="26"/>
      <c r="HC574" s="65"/>
      <c r="HD574" s="26"/>
      <c r="HE574" s="26"/>
      <c r="HF574" s="26"/>
      <c r="HG574" s="26"/>
      <c r="HH574" s="65"/>
      <c r="HI574" s="26"/>
      <c r="HJ574" s="26"/>
      <c r="HK574" s="25"/>
      <c r="HL574" s="25"/>
    </row>
    <row r="575" spans="1:220" ht="15.75" customHeight="1" x14ac:dyDescent="0.2">
      <c r="A575" s="58">
        <v>43709.296168981484</v>
      </c>
      <c r="B575" s="32">
        <v>592725</v>
      </c>
      <c r="C575" s="70">
        <v>50</v>
      </c>
      <c r="D575" s="81" t="s">
        <v>616</v>
      </c>
      <c r="E575" s="32">
        <f t="shared" si="19"/>
        <v>0</v>
      </c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  <c r="FK575" s="25"/>
      <c r="FL575" s="25"/>
      <c r="FM575" s="25"/>
      <c r="FN575" s="25"/>
      <c r="FO575" s="25"/>
      <c r="FP575" s="25"/>
      <c r="FQ575" s="25"/>
      <c r="FR575" s="25"/>
      <c r="FS575" s="25"/>
      <c r="FT575" s="25"/>
      <c r="FU575" s="25"/>
      <c r="FV575" s="28"/>
      <c r="FW575" s="28"/>
      <c r="FX575" s="28"/>
      <c r="FY575" s="26"/>
      <c r="FZ575" s="26"/>
      <c r="GA575" s="26"/>
      <c r="GB575" s="26"/>
      <c r="GC575" s="26"/>
      <c r="GD575" s="26"/>
      <c r="GE575" s="26"/>
      <c r="GF575" s="26"/>
      <c r="GG575" s="26"/>
      <c r="GH575" s="26"/>
      <c r="GI575" s="26"/>
      <c r="GJ575" s="26"/>
      <c r="GK575" s="26"/>
      <c r="GL575" s="65">
        <v>50</v>
      </c>
      <c r="GM575" s="26"/>
      <c r="GN575" s="26"/>
      <c r="GO575" s="26"/>
      <c r="GP575" s="26"/>
      <c r="GQ575" s="26"/>
      <c r="GR575" s="26"/>
      <c r="GS575" s="64"/>
      <c r="GT575" s="26"/>
      <c r="GU575" s="26"/>
      <c r="GV575" s="26"/>
      <c r="GW575" s="26"/>
      <c r="GX575" s="64"/>
      <c r="GY575" s="26"/>
      <c r="GZ575" s="26"/>
      <c r="HA575" s="26"/>
      <c r="HB575" s="26"/>
      <c r="HC575" s="65"/>
      <c r="HD575" s="26"/>
      <c r="HE575" s="26"/>
      <c r="HF575" s="26"/>
      <c r="HG575" s="26"/>
      <c r="HH575" s="65"/>
      <c r="HI575" s="26"/>
      <c r="HJ575" s="26"/>
      <c r="HK575" s="25"/>
      <c r="HL575" s="25"/>
    </row>
    <row r="576" spans="1:220" ht="15.75" customHeight="1" x14ac:dyDescent="0.2">
      <c r="A576" s="58">
        <v>43709.274976851855</v>
      </c>
      <c r="B576" s="32">
        <v>592722</v>
      </c>
      <c r="C576" s="70">
        <v>93</v>
      </c>
      <c r="D576" s="81" t="s">
        <v>617</v>
      </c>
      <c r="E576" s="32">
        <f t="shared" si="19"/>
        <v>0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  <c r="FK576" s="25"/>
      <c r="FL576" s="25"/>
      <c r="FM576" s="25"/>
      <c r="FN576" s="25"/>
      <c r="FO576" s="25"/>
      <c r="FP576" s="25"/>
      <c r="FQ576" s="25"/>
      <c r="FR576" s="25"/>
      <c r="FS576" s="25"/>
      <c r="FT576" s="25"/>
      <c r="FU576" s="25"/>
      <c r="FV576" s="28"/>
      <c r="FW576" s="28"/>
      <c r="FX576" s="28"/>
      <c r="FY576" s="26"/>
      <c r="FZ576" s="26"/>
      <c r="GA576" s="26"/>
      <c r="GB576" s="26"/>
      <c r="GC576" s="26"/>
      <c r="GD576" s="26"/>
      <c r="GE576" s="26"/>
      <c r="GF576" s="26"/>
      <c r="GG576" s="26"/>
      <c r="GH576" s="26"/>
      <c r="GI576" s="26"/>
      <c r="GJ576" s="26"/>
      <c r="GK576" s="26"/>
      <c r="GL576" s="65">
        <v>93</v>
      </c>
      <c r="GM576" s="26"/>
      <c r="GN576" s="26"/>
      <c r="GO576" s="26"/>
      <c r="GP576" s="26"/>
      <c r="GQ576" s="26"/>
      <c r="GR576" s="26"/>
      <c r="GS576" s="64"/>
      <c r="GT576" s="26"/>
      <c r="GU576" s="26"/>
      <c r="GV576" s="26"/>
      <c r="GW576" s="26"/>
      <c r="GX576" s="64"/>
      <c r="GY576" s="26"/>
      <c r="GZ576" s="26"/>
      <c r="HA576" s="26"/>
      <c r="HB576" s="26"/>
      <c r="HC576" s="65"/>
      <c r="HD576" s="26"/>
      <c r="HE576" s="26"/>
      <c r="HF576" s="26"/>
      <c r="HG576" s="26"/>
      <c r="HH576" s="65"/>
      <c r="HI576" s="26"/>
      <c r="HJ576" s="26"/>
      <c r="HK576" s="25"/>
      <c r="HL576" s="25"/>
    </row>
    <row r="577" spans="1:220" ht="15.75" customHeight="1" x14ac:dyDescent="0.2">
      <c r="A577" s="58">
        <v>43709.236192129632</v>
      </c>
      <c r="B577" s="32">
        <v>592719</v>
      </c>
      <c r="C577" s="70">
        <v>50</v>
      </c>
      <c r="D577" s="81" t="s">
        <v>618</v>
      </c>
      <c r="E577" s="32">
        <f t="shared" si="19"/>
        <v>0</v>
      </c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  <c r="FK577" s="25"/>
      <c r="FL577" s="25"/>
      <c r="FM577" s="25"/>
      <c r="FN577" s="25"/>
      <c r="FO577" s="25"/>
      <c r="FP577" s="25"/>
      <c r="FQ577" s="25"/>
      <c r="FR577" s="25"/>
      <c r="FS577" s="25"/>
      <c r="FT577" s="25"/>
      <c r="FU577" s="25"/>
      <c r="FV577" s="28"/>
      <c r="FW577" s="28"/>
      <c r="FX577" s="28"/>
      <c r="FY577" s="26"/>
      <c r="FZ577" s="26"/>
      <c r="GA577" s="26"/>
      <c r="GB577" s="26"/>
      <c r="GC577" s="26"/>
      <c r="GD577" s="26"/>
      <c r="GE577" s="26"/>
      <c r="GF577" s="26"/>
      <c r="GG577" s="26"/>
      <c r="GH577" s="26"/>
      <c r="GI577" s="26"/>
      <c r="GJ577" s="26"/>
      <c r="GK577" s="26"/>
      <c r="GL577" s="65">
        <v>50</v>
      </c>
      <c r="GM577" s="26"/>
      <c r="GN577" s="26"/>
      <c r="GO577" s="26"/>
      <c r="GP577" s="26"/>
      <c r="GQ577" s="26"/>
      <c r="GR577" s="26"/>
      <c r="GS577" s="64"/>
      <c r="GT577" s="26"/>
      <c r="GU577" s="26"/>
      <c r="GV577" s="26"/>
      <c r="GW577" s="26"/>
      <c r="GX577" s="64"/>
      <c r="GY577" s="26"/>
      <c r="GZ577" s="26"/>
      <c r="HA577" s="26"/>
      <c r="HB577" s="26"/>
      <c r="HC577" s="65"/>
      <c r="HD577" s="26"/>
      <c r="HE577" s="26"/>
      <c r="HF577" s="26"/>
      <c r="HG577" s="26"/>
      <c r="HH577" s="65"/>
      <c r="HI577" s="26"/>
      <c r="HJ577" s="26"/>
      <c r="HK577" s="25"/>
      <c r="HL577" s="25"/>
    </row>
    <row r="578" spans="1:220" ht="15.75" customHeight="1" x14ac:dyDescent="0.2">
      <c r="A578" s="71">
        <v>43709.19804398148</v>
      </c>
      <c r="B578" s="32">
        <v>592711</v>
      </c>
      <c r="C578" s="69">
        <v>50</v>
      </c>
      <c r="D578" s="81" t="s">
        <v>619</v>
      </c>
      <c r="E578" s="32">
        <f t="shared" si="19"/>
        <v>0</v>
      </c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  <c r="FJ578" s="25"/>
      <c r="FK578" s="25"/>
      <c r="FL578" s="25"/>
      <c r="FM578" s="25"/>
      <c r="FN578" s="25"/>
      <c r="FO578" s="25"/>
      <c r="FP578" s="25"/>
      <c r="FQ578" s="25"/>
      <c r="FR578" s="25"/>
      <c r="FS578" s="25"/>
      <c r="FT578" s="25"/>
      <c r="FU578" s="25"/>
      <c r="FV578" s="28"/>
      <c r="FW578" s="28"/>
      <c r="FX578" s="28"/>
      <c r="FY578" s="26"/>
      <c r="FZ578" s="26"/>
      <c r="GA578" s="26"/>
      <c r="GB578" s="26"/>
      <c r="GC578" s="26"/>
      <c r="GD578" s="26"/>
      <c r="GE578" s="26"/>
      <c r="GF578" s="26"/>
      <c r="GG578" s="26"/>
      <c r="GH578" s="26"/>
      <c r="GI578" s="26"/>
      <c r="GJ578" s="26"/>
      <c r="GK578" s="26"/>
      <c r="GL578" s="65">
        <v>50</v>
      </c>
      <c r="GM578" s="26"/>
      <c r="GN578" s="26"/>
      <c r="GO578" s="26"/>
      <c r="GP578" s="26"/>
      <c r="GQ578" s="26"/>
      <c r="GR578" s="26"/>
      <c r="GS578" s="64"/>
      <c r="GT578" s="26"/>
      <c r="GU578" s="26"/>
      <c r="GV578" s="26"/>
      <c r="GW578" s="26"/>
      <c r="GX578" s="64"/>
      <c r="GY578" s="26"/>
      <c r="GZ578" s="26"/>
      <c r="HA578" s="26"/>
      <c r="HB578" s="26"/>
      <c r="HC578" s="65"/>
      <c r="HD578" s="26"/>
      <c r="HE578" s="26"/>
      <c r="HF578" s="26"/>
      <c r="HG578" s="26"/>
      <c r="HH578" s="65"/>
      <c r="HI578" s="26"/>
      <c r="HJ578" s="26"/>
      <c r="HK578" s="25"/>
      <c r="HL578" s="25"/>
    </row>
    <row r="579" spans="1:220" ht="15.75" customHeight="1" x14ac:dyDescent="0.2">
      <c r="A579" s="71">
        <v>43709.131782407407</v>
      </c>
      <c r="B579" s="32">
        <v>592707</v>
      </c>
      <c r="C579" s="69">
        <v>50</v>
      </c>
      <c r="D579" s="81" t="s">
        <v>620</v>
      </c>
      <c r="E579" s="32">
        <f t="shared" si="19"/>
        <v>0</v>
      </c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  <c r="FJ579" s="25"/>
      <c r="FK579" s="25"/>
      <c r="FL579" s="25"/>
      <c r="FM579" s="25"/>
      <c r="FN579" s="25"/>
      <c r="FO579" s="25"/>
      <c r="FP579" s="25"/>
      <c r="FQ579" s="25"/>
      <c r="FR579" s="25"/>
      <c r="FS579" s="25"/>
      <c r="FT579" s="25"/>
      <c r="FU579" s="25"/>
      <c r="FV579" s="28"/>
      <c r="FW579" s="28"/>
      <c r="FX579" s="28"/>
      <c r="FY579" s="26"/>
      <c r="FZ579" s="26"/>
      <c r="GA579" s="26"/>
      <c r="GB579" s="26"/>
      <c r="GC579" s="26"/>
      <c r="GD579" s="26"/>
      <c r="GE579" s="26"/>
      <c r="GF579" s="26"/>
      <c r="GG579" s="26"/>
      <c r="GH579" s="26"/>
      <c r="GI579" s="26"/>
      <c r="GJ579" s="26"/>
      <c r="GK579" s="26"/>
      <c r="GL579" s="65">
        <v>50</v>
      </c>
      <c r="GM579" s="26"/>
      <c r="GN579" s="26"/>
      <c r="GO579" s="26"/>
      <c r="GP579" s="26"/>
      <c r="GQ579" s="26"/>
      <c r="GR579" s="26"/>
      <c r="GS579" s="64"/>
      <c r="GT579" s="26"/>
      <c r="GU579" s="26"/>
      <c r="GV579" s="26"/>
      <c r="GW579" s="26"/>
      <c r="GX579" s="64"/>
      <c r="GY579" s="26"/>
      <c r="GZ579" s="26"/>
      <c r="HA579" s="26"/>
      <c r="HB579" s="26"/>
      <c r="HC579" s="65"/>
      <c r="HD579" s="26"/>
      <c r="HE579" s="26"/>
      <c r="HF579" s="26"/>
      <c r="HG579" s="26"/>
      <c r="HH579" s="65"/>
      <c r="HI579" s="26"/>
      <c r="HJ579" s="26"/>
      <c r="HK579" s="25"/>
      <c r="HL579" s="25"/>
    </row>
    <row r="580" spans="1:220" ht="15.75" customHeight="1" x14ac:dyDescent="0.2">
      <c r="A580" s="71">
        <v>43708.523923611108</v>
      </c>
      <c r="B580" s="32">
        <v>592592</v>
      </c>
      <c r="C580" s="69">
        <v>30</v>
      </c>
      <c r="D580" s="81" t="s">
        <v>621</v>
      </c>
      <c r="E580" s="32">
        <f t="shared" si="19"/>
        <v>0</v>
      </c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  <c r="FJ580" s="25"/>
      <c r="FK580" s="25"/>
      <c r="FL580" s="25"/>
      <c r="FM580" s="25"/>
      <c r="FN580" s="25"/>
      <c r="FO580" s="25"/>
      <c r="FP580" s="25"/>
      <c r="FQ580" s="25"/>
      <c r="FR580" s="25"/>
      <c r="FS580" s="25"/>
      <c r="FT580" s="25"/>
      <c r="FU580" s="25"/>
      <c r="FV580" s="28"/>
      <c r="FW580" s="28"/>
      <c r="FX580" s="28"/>
      <c r="FY580" s="26"/>
      <c r="FZ580" s="26"/>
      <c r="GA580" s="26"/>
      <c r="GB580" s="26"/>
      <c r="GC580" s="26"/>
      <c r="GD580" s="26"/>
      <c r="GE580" s="26"/>
      <c r="GF580" s="26"/>
      <c r="GG580" s="26"/>
      <c r="GH580" s="26"/>
      <c r="GI580" s="26"/>
      <c r="GJ580" s="26"/>
      <c r="GK580" s="26"/>
      <c r="GL580" s="65"/>
      <c r="GM580" s="26">
        <v>30</v>
      </c>
      <c r="GN580" s="26"/>
      <c r="GO580" s="26"/>
      <c r="GP580" s="26"/>
      <c r="GQ580" s="26"/>
      <c r="GR580" s="26"/>
      <c r="GS580" s="64"/>
      <c r="GT580" s="26"/>
      <c r="GU580" s="26"/>
      <c r="GV580" s="26"/>
      <c r="GW580" s="26"/>
      <c r="GX580" s="64"/>
      <c r="GY580" s="26"/>
      <c r="GZ580" s="26"/>
      <c r="HA580" s="26"/>
      <c r="HB580" s="26"/>
      <c r="HC580" s="65"/>
      <c r="HD580" s="26"/>
      <c r="HE580" s="26"/>
      <c r="HF580" s="26"/>
      <c r="HG580" s="26"/>
      <c r="HH580" s="65"/>
      <c r="HI580" s="26"/>
      <c r="HJ580" s="26"/>
      <c r="HK580" s="25"/>
      <c r="HL580" s="25"/>
    </row>
    <row r="581" spans="1:220" ht="15.75" customHeight="1" x14ac:dyDescent="0.2">
      <c r="A581" s="58">
        <v>43708.492175925923</v>
      </c>
      <c r="B581" s="32">
        <v>592589</v>
      </c>
      <c r="C581" s="70">
        <v>50</v>
      </c>
      <c r="D581" s="81" t="s">
        <v>622</v>
      </c>
      <c r="E581" s="32">
        <f t="shared" si="19"/>
        <v>0</v>
      </c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  <c r="FJ581" s="25"/>
      <c r="FK581" s="25"/>
      <c r="FL581" s="25"/>
      <c r="FM581" s="25"/>
      <c r="FN581" s="25"/>
      <c r="FO581" s="25"/>
      <c r="FP581" s="25"/>
      <c r="FQ581" s="25"/>
      <c r="FR581" s="25"/>
      <c r="FS581" s="25"/>
      <c r="FT581" s="25"/>
      <c r="FU581" s="25"/>
      <c r="FV581" s="28"/>
      <c r="FW581" s="28"/>
      <c r="FX581" s="28"/>
      <c r="FY581" s="26"/>
      <c r="FZ581" s="26"/>
      <c r="GA581" s="26"/>
      <c r="GB581" s="26"/>
      <c r="GC581" s="26"/>
      <c r="GD581" s="26"/>
      <c r="GE581" s="26"/>
      <c r="GF581" s="26"/>
      <c r="GG581" s="26"/>
      <c r="GH581" s="26"/>
      <c r="GI581" s="26"/>
      <c r="GJ581" s="26"/>
      <c r="GK581" s="26"/>
      <c r="GL581" s="65"/>
      <c r="GM581" s="26">
        <v>50</v>
      </c>
      <c r="GN581" s="26"/>
      <c r="GO581" s="26"/>
      <c r="GP581" s="26"/>
      <c r="GQ581" s="26"/>
      <c r="GR581" s="26"/>
      <c r="GS581" s="64"/>
      <c r="GT581" s="26"/>
      <c r="GU581" s="26"/>
      <c r="GV581" s="26"/>
      <c r="GW581" s="26"/>
      <c r="GX581" s="64"/>
      <c r="GY581" s="26"/>
      <c r="GZ581" s="26"/>
      <c r="HA581" s="26"/>
      <c r="HB581" s="26"/>
      <c r="HC581" s="65"/>
      <c r="HD581" s="26"/>
      <c r="HE581" s="26"/>
      <c r="HF581" s="26"/>
      <c r="HG581" s="26"/>
      <c r="HH581" s="65"/>
      <c r="HI581" s="26"/>
      <c r="HJ581" s="26"/>
      <c r="HK581" s="25"/>
      <c r="HL581" s="25"/>
    </row>
    <row r="582" spans="1:220" ht="15.75" customHeight="1" x14ac:dyDescent="0.2">
      <c r="A582" s="71">
        <v>43708.414050925923</v>
      </c>
      <c r="B582" s="32">
        <v>592578</v>
      </c>
      <c r="C582" s="69">
        <v>50</v>
      </c>
      <c r="D582" s="81" t="s">
        <v>623</v>
      </c>
      <c r="E582" s="32">
        <f t="shared" si="19"/>
        <v>0</v>
      </c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  <c r="FJ582" s="25"/>
      <c r="FK582" s="25"/>
      <c r="FL582" s="25"/>
      <c r="FM582" s="25"/>
      <c r="FN582" s="25"/>
      <c r="FO582" s="25"/>
      <c r="FP582" s="25"/>
      <c r="FQ582" s="25"/>
      <c r="FR582" s="25"/>
      <c r="FS582" s="25"/>
      <c r="FT582" s="25"/>
      <c r="FU582" s="25"/>
      <c r="FV582" s="28"/>
      <c r="FW582" s="28"/>
      <c r="FX582" s="28"/>
      <c r="FY582" s="26"/>
      <c r="FZ582" s="26"/>
      <c r="GA582" s="26"/>
      <c r="GB582" s="26"/>
      <c r="GC582" s="26"/>
      <c r="GD582" s="26"/>
      <c r="GE582" s="26"/>
      <c r="GF582" s="26"/>
      <c r="GG582" s="26"/>
      <c r="GH582" s="26"/>
      <c r="GI582" s="26"/>
      <c r="GJ582" s="26"/>
      <c r="GK582" s="26"/>
      <c r="GL582" s="65"/>
      <c r="GM582" s="26">
        <v>50</v>
      </c>
      <c r="GN582" s="26"/>
      <c r="GO582" s="26"/>
      <c r="GP582" s="26"/>
      <c r="GQ582" s="26"/>
      <c r="GR582" s="26"/>
      <c r="GS582" s="64"/>
      <c r="GT582" s="26"/>
      <c r="GU582" s="26"/>
      <c r="GV582" s="26"/>
      <c r="GW582" s="26"/>
      <c r="GX582" s="64"/>
      <c r="GY582" s="26"/>
      <c r="GZ582" s="26"/>
      <c r="HA582" s="26"/>
      <c r="HB582" s="26"/>
      <c r="HC582" s="65"/>
      <c r="HD582" s="26"/>
      <c r="HE582" s="26"/>
      <c r="HF582" s="26"/>
      <c r="HG582" s="26"/>
      <c r="HH582" s="65"/>
      <c r="HI582" s="26"/>
      <c r="HJ582" s="26"/>
      <c r="HK582" s="25"/>
      <c r="HL582" s="25"/>
    </row>
    <row r="583" spans="1:220" ht="15.75" customHeight="1" x14ac:dyDescent="0.2">
      <c r="A583" s="71">
        <v>43708.391585648147</v>
      </c>
      <c r="B583" s="32">
        <v>592577</v>
      </c>
      <c r="C583" s="69">
        <v>20</v>
      </c>
      <c r="D583" s="81" t="s">
        <v>624</v>
      </c>
      <c r="E583" s="32">
        <f t="shared" si="19"/>
        <v>0</v>
      </c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  <c r="FJ583" s="25"/>
      <c r="FK583" s="25"/>
      <c r="FL583" s="25"/>
      <c r="FM583" s="25"/>
      <c r="FN583" s="25"/>
      <c r="FO583" s="25"/>
      <c r="FP583" s="25"/>
      <c r="FQ583" s="25"/>
      <c r="FR583" s="25"/>
      <c r="FS583" s="25"/>
      <c r="FT583" s="25"/>
      <c r="FU583" s="25"/>
      <c r="FV583" s="28"/>
      <c r="FW583" s="28"/>
      <c r="FX583" s="28"/>
      <c r="FY583" s="26"/>
      <c r="FZ583" s="26"/>
      <c r="GA583" s="26"/>
      <c r="GB583" s="26"/>
      <c r="GC583" s="26"/>
      <c r="GD583" s="26"/>
      <c r="GE583" s="26"/>
      <c r="GF583" s="26"/>
      <c r="GG583" s="26"/>
      <c r="GH583" s="26"/>
      <c r="GI583" s="26"/>
      <c r="GJ583" s="26"/>
      <c r="GK583" s="26"/>
      <c r="GL583" s="65"/>
      <c r="GM583" s="26">
        <v>20</v>
      </c>
      <c r="GN583" s="26"/>
      <c r="GO583" s="26"/>
      <c r="GP583" s="26"/>
      <c r="GQ583" s="26"/>
      <c r="GR583" s="26"/>
      <c r="GS583" s="64"/>
      <c r="GT583" s="26"/>
      <c r="GU583" s="26"/>
      <c r="GV583" s="26"/>
      <c r="GW583" s="26"/>
      <c r="GX583" s="64"/>
      <c r="GY583" s="26"/>
      <c r="GZ583" s="26"/>
      <c r="HA583" s="26"/>
      <c r="HB583" s="26"/>
      <c r="HC583" s="65"/>
      <c r="HD583" s="26"/>
      <c r="HE583" s="26"/>
      <c r="HF583" s="26"/>
      <c r="HG583" s="26"/>
      <c r="HH583" s="65"/>
      <c r="HI583" s="26"/>
      <c r="HJ583" s="26"/>
      <c r="HK583" s="25"/>
      <c r="HL583" s="25"/>
    </row>
    <row r="584" spans="1:220" ht="15.75" customHeight="1" x14ac:dyDescent="0.2">
      <c r="A584" s="58">
        <v>43708.341319444444</v>
      </c>
      <c r="B584" s="32">
        <v>592569</v>
      </c>
      <c r="C584" s="72">
        <v>51</v>
      </c>
      <c r="D584" s="86" t="s">
        <v>625</v>
      </c>
      <c r="E584" s="32">
        <f t="shared" si="19"/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  <c r="FJ584" s="25"/>
      <c r="FK584" s="25"/>
      <c r="FL584" s="25"/>
      <c r="FM584" s="25"/>
      <c r="FN584" s="25"/>
      <c r="FO584" s="25"/>
      <c r="FP584" s="25"/>
      <c r="FQ584" s="25"/>
      <c r="FR584" s="25"/>
      <c r="FS584" s="25"/>
      <c r="FT584" s="25"/>
      <c r="FU584" s="25"/>
      <c r="FV584" s="28"/>
      <c r="FW584" s="28"/>
      <c r="FX584" s="28"/>
      <c r="FY584" s="26"/>
      <c r="FZ584" s="26"/>
      <c r="GA584" s="26"/>
      <c r="GB584" s="26"/>
      <c r="GC584" s="26"/>
      <c r="GD584" s="26"/>
      <c r="GE584" s="26"/>
      <c r="GF584" s="26"/>
      <c r="GG584" s="26"/>
      <c r="GH584" s="26"/>
      <c r="GI584" s="26"/>
      <c r="GJ584" s="26"/>
      <c r="GK584" s="26"/>
      <c r="GL584" s="65"/>
      <c r="GM584" s="26">
        <v>51</v>
      </c>
      <c r="GN584" s="26"/>
      <c r="GO584" s="26"/>
      <c r="GP584" s="26"/>
      <c r="GQ584" s="26"/>
      <c r="GR584" s="26"/>
      <c r="GS584" s="64"/>
      <c r="GT584" s="26"/>
      <c r="GU584" s="26"/>
      <c r="GV584" s="26"/>
      <c r="GW584" s="26"/>
      <c r="GX584" s="64"/>
      <c r="GY584" s="26"/>
      <c r="GZ584" s="26"/>
      <c r="HA584" s="26"/>
      <c r="HB584" s="26"/>
      <c r="HC584" s="65"/>
      <c r="HD584" s="26"/>
      <c r="HE584" s="26"/>
      <c r="HF584" s="26"/>
      <c r="HG584" s="26"/>
      <c r="HH584" s="65"/>
      <c r="HI584" s="26"/>
      <c r="HJ584" s="26"/>
      <c r="HK584" s="25"/>
      <c r="HL584" s="25"/>
    </row>
    <row r="585" spans="1:220" ht="15.75" customHeight="1" x14ac:dyDescent="0.2">
      <c r="A585" s="71">
        <v>43708.289178240739</v>
      </c>
      <c r="B585" s="32">
        <v>592562</v>
      </c>
      <c r="C585" s="73">
        <v>30</v>
      </c>
      <c r="D585" s="86" t="s">
        <v>626</v>
      </c>
      <c r="E585" s="32">
        <f t="shared" si="19"/>
        <v>0</v>
      </c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  <c r="FJ585" s="25"/>
      <c r="FK585" s="25"/>
      <c r="FL585" s="25"/>
      <c r="FM585" s="25"/>
      <c r="FN585" s="25"/>
      <c r="FO585" s="25"/>
      <c r="FP585" s="25"/>
      <c r="FQ585" s="25"/>
      <c r="FR585" s="25"/>
      <c r="FS585" s="25"/>
      <c r="FT585" s="25"/>
      <c r="FU585" s="25"/>
      <c r="FV585" s="28"/>
      <c r="FW585" s="28"/>
      <c r="FX585" s="28"/>
      <c r="FY585" s="26"/>
      <c r="FZ585" s="26"/>
      <c r="GA585" s="26"/>
      <c r="GB585" s="26"/>
      <c r="GC585" s="26"/>
      <c r="GD585" s="26"/>
      <c r="GE585" s="26"/>
      <c r="GF585" s="26"/>
      <c r="GG585" s="26"/>
      <c r="GH585" s="26"/>
      <c r="GI585" s="26"/>
      <c r="GJ585" s="26"/>
      <c r="GK585" s="26"/>
      <c r="GL585" s="65"/>
      <c r="GM585" s="26">
        <v>30</v>
      </c>
      <c r="GN585" s="26"/>
      <c r="GO585" s="26"/>
      <c r="GP585" s="26"/>
      <c r="GQ585" s="26"/>
      <c r="GR585" s="26"/>
      <c r="GS585" s="64"/>
      <c r="GT585" s="26"/>
      <c r="GU585" s="26"/>
      <c r="GV585" s="26"/>
      <c r="GW585" s="26"/>
      <c r="GX585" s="64"/>
      <c r="GY585" s="26"/>
      <c r="GZ585" s="26"/>
      <c r="HA585" s="26"/>
      <c r="HB585" s="26"/>
      <c r="HC585" s="65"/>
      <c r="HD585" s="26"/>
      <c r="HE585" s="26"/>
      <c r="HF585" s="26"/>
      <c r="HG585" s="26"/>
      <c r="HH585" s="65"/>
      <c r="HI585" s="26"/>
      <c r="HJ585" s="26"/>
      <c r="HK585" s="25"/>
      <c r="HL585" s="25"/>
    </row>
    <row r="586" spans="1:220" ht="15.75" customHeight="1" x14ac:dyDescent="0.2">
      <c r="A586" s="71">
        <v>43704.475335648145</v>
      </c>
      <c r="B586" s="32">
        <v>591965</v>
      </c>
      <c r="C586" s="73">
        <v>50</v>
      </c>
      <c r="D586" s="86" t="s">
        <v>627</v>
      </c>
      <c r="E586" s="32">
        <f t="shared" si="19"/>
        <v>0</v>
      </c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  <c r="FJ586" s="25"/>
      <c r="FK586" s="25"/>
      <c r="FL586" s="25"/>
      <c r="FM586" s="25"/>
      <c r="FN586" s="25"/>
      <c r="FO586" s="25"/>
      <c r="FP586" s="25"/>
      <c r="FQ586" s="25"/>
      <c r="FR586" s="25"/>
      <c r="FS586" s="25"/>
      <c r="FT586" s="25"/>
      <c r="FU586" s="25"/>
      <c r="FV586" s="28"/>
      <c r="FW586" s="28"/>
      <c r="FX586" s="28"/>
      <c r="FY586" s="26"/>
      <c r="FZ586" s="26"/>
      <c r="GA586" s="26"/>
      <c r="GB586" s="26"/>
      <c r="GC586" s="26"/>
      <c r="GD586" s="26"/>
      <c r="GE586" s="26"/>
      <c r="GF586" s="26"/>
      <c r="GG586" s="26"/>
      <c r="GH586" s="26"/>
      <c r="GI586" s="26"/>
      <c r="GJ586" s="26"/>
      <c r="GK586" s="26"/>
      <c r="GL586" s="65"/>
      <c r="GM586" s="26"/>
      <c r="GN586" s="26"/>
      <c r="GO586" s="26"/>
      <c r="GP586" s="26"/>
      <c r="GQ586" s="26">
        <v>50</v>
      </c>
      <c r="GR586" s="26"/>
      <c r="GS586" s="64"/>
      <c r="GT586" s="26"/>
      <c r="GU586" s="26"/>
      <c r="GV586" s="26"/>
      <c r="GW586" s="26"/>
      <c r="GX586" s="64"/>
      <c r="GY586" s="26"/>
      <c r="GZ586" s="26"/>
      <c r="HA586" s="26"/>
      <c r="HB586" s="26"/>
      <c r="HC586" s="65"/>
      <c r="HD586" s="26"/>
      <c r="HE586" s="26"/>
      <c r="HF586" s="26"/>
      <c r="HG586" s="26"/>
      <c r="HH586" s="65"/>
      <c r="HI586" s="26"/>
      <c r="HJ586" s="26"/>
      <c r="HK586" s="25"/>
      <c r="HL586" s="25"/>
    </row>
    <row r="587" spans="1:220" ht="15.75" customHeight="1" x14ac:dyDescent="0.2">
      <c r="A587" s="71">
        <v>43707.463159722225</v>
      </c>
      <c r="B587" s="32">
        <v>592427</v>
      </c>
      <c r="C587" s="73">
        <v>20</v>
      </c>
      <c r="D587" s="86" t="s">
        <v>628</v>
      </c>
      <c r="E587" s="32">
        <f t="shared" si="19"/>
        <v>0</v>
      </c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  <c r="FJ587" s="25"/>
      <c r="FK587" s="25"/>
      <c r="FL587" s="25"/>
      <c r="FM587" s="25"/>
      <c r="FN587" s="25"/>
      <c r="FO587" s="25"/>
      <c r="FP587" s="25"/>
      <c r="FQ587" s="25"/>
      <c r="FR587" s="25"/>
      <c r="FS587" s="25"/>
      <c r="FT587" s="25"/>
      <c r="FU587" s="25"/>
      <c r="FV587" s="28"/>
      <c r="FW587" s="28"/>
      <c r="FX587" s="28"/>
      <c r="FY587" s="26"/>
      <c r="FZ587" s="26"/>
      <c r="GA587" s="26"/>
      <c r="GB587" s="26"/>
      <c r="GC587" s="26"/>
      <c r="GD587" s="26"/>
      <c r="GE587" s="26"/>
      <c r="GF587" s="26"/>
      <c r="GG587" s="26"/>
      <c r="GH587" s="26"/>
      <c r="GI587" s="26"/>
      <c r="GJ587" s="26"/>
      <c r="GK587" s="26"/>
      <c r="GL587" s="65"/>
      <c r="GM587" s="26">
        <v>20</v>
      </c>
      <c r="GN587" s="26"/>
      <c r="GO587" s="26"/>
      <c r="GP587" s="26"/>
      <c r="GQ587" s="26"/>
      <c r="GR587" s="26"/>
      <c r="GS587" s="64"/>
      <c r="GT587" s="26"/>
      <c r="GU587" s="26"/>
      <c r="GV587" s="26"/>
      <c r="GW587" s="26"/>
      <c r="GX587" s="64"/>
      <c r="GY587" s="26"/>
      <c r="GZ587" s="26"/>
      <c r="HA587" s="26"/>
      <c r="HB587" s="26"/>
      <c r="HC587" s="65"/>
      <c r="HD587" s="26"/>
      <c r="HE587" s="26"/>
      <c r="HF587" s="26"/>
      <c r="HG587" s="26"/>
      <c r="HH587" s="65"/>
      <c r="HI587" s="26"/>
      <c r="HJ587" s="26"/>
      <c r="HK587" s="25"/>
      <c r="HL587" s="25"/>
    </row>
    <row r="588" spans="1:220" ht="15.75" customHeight="1" x14ac:dyDescent="0.2">
      <c r="A588" s="71">
        <v>43707.463159722225</v>
      </c>
      <c r="B588" s="32">
        <v>592427</v>
      </c>
      <c r="C588" s="73">
        <v>30</v>
      </c>
      <c r="D588" s="86" t="s">
        <v>629</v>
      </c>
      <c r="E588" s="32">
        <f t="shared" si="19"/>
        <v>0</v>
      </c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  <c r="FJ588" s="25"/>
      <c r="FK588" s="25"/>
      <c r="FL588" s="25"/>
      <c r="FM588" s="25"/>
      <c r="FN588" s="25"/>
      <c r="FO588" s="25"/>
      <c r="FP588" s="25"/>
      <c r="FQ588" s="25"/>
      <c r="FR588" s="25"/>
      <c r="FS588" s="25"/>
      <c r="FT588" s="25"/>
      <c r="FU588" s="25"/>
      <c r="FV588" s="28"/>
      <c r="FW588" s="28"/>
      <c r="FX588" s="28"/>
      <c r="FY588" s="26"/>
      <c r="FZ588" s="26"/>
      <c r="GA588" s="26"/>
      <c r="GB588" s="26"/>
      <c r="GC588" s="26"/>
      <c r="GD588" s="26"/>
      <c r="GE588" s="26"/>
      <c r="GF588" s="26"/>
      <c r="GG588" s="26"/>
      <c r="GH588" s="26"/>
      <c r="GI588" s="26"/>
      <c r="GJ588" s="26"/>
      <c r="GK588" s="26"/>
      <c r="GL588" s="65"/>
      <c r="GM588" s="26">
        <v>30</v>
      </c>
      <c r="GN588" s="26"/>
      <c r="GO588" s="26"/>
      <c r="GP588" s="26"/>
      <c r="GQ588" s="26"/>
      <c r="GR588" s="26"/>
      <c r="GS588" s="64"/>
      <c r="GT588" s="26"/>
      <c r="GU588" s="26"/>
      <c r="GV588" s="26"/>
      <c r="GW588" s="26"/>
      <c r="GX588" s="64"/>
      <c r="GY588" s="26"/>
      <c r="GZ588" s="26"/>
      <c r="HA588" s="26"/>
      <c r="HB588" s="26"/>
      <c r="HC588" s="65"/>
      <c r="HD588" s="26"/>
      <c r="HE588" s="26"/>
      <c r="HF588" s="26"/>
      <c r="HG588" s="26"/>
      <c r="HH588" s="65"/>
      <c r="HI588" s="26"/>
      <c r="HJ588" s="26"/>
      <c r="HK588" s="25"/>
      <c r="HL588" s="25"/>
    </row>
    <row r="589" spans="1:220" ht="15.75" customHeight="1" x14ac:dyDescent="0.2">
      <c r="A589" s="58">
        <v>43707.40824074074</v>
      </c>
      <c r="B589" s="32">
        <v>592417</v>
      </c>
      <c r="C589" s="72">
        <v>33</v>
      </c>
      <c r="D589" s="86" t="s">
        <v>630</v>
      </c>
      <c r="E589" s="32">
        <f t="shared" si="19"/>
        <v>0</v>
      </c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  <c r="FJ589" s="25"/>
      <c r="FK589" s="25"/>
      <c r="FL589" s="25"/>
      <c r="FM589" s="25"/>
      <c r="FN589" s="25"/>
      <c r="FO589" s="25"/>
      <c r="FP589" s="25"/>
      <c r="FQ589" s="25"/>
      <c r="FR589" s="25"/>
      <c r="FS589" s="25"/>
      <c r="FT589" s="25"/>
      <c r="FU589" s="25"/>
      <c r="FV589" s="28"/>
      <c r="FW589" s="28"/>
      <c r="FX589" s="28"/>
      <c r="FY589" s="26"/>
      <c r="FZ589" s="26"/>
      <c r="GA589" s="26"/>
      <c r="GB589" s="26"/>
      <c r="GC589" s="26"/>
      <c r="GD589" s="26"/>
      <c r="GE589" s="26"/>
      <c r="GF589" s="26"/>
      <c r="GG589" s="26"/>
      <c r="GH589" s="26"/>
      <c r="GI589" s="26"/>
      <c r="GJ589" s="26"/>
      <c r="GK589" s="26"/>
      <c r="GL589" s="65"/>
      <c r="GM589" s="26"/>
      <c r="GN589" s="26">
        <v>33</v>
      </c>
      <c r="GO589" s="26"/>
      <c r="GP589" s="26"/>
      <c r="GQ589" s="26"/>
      <c r="GR589" s="26"/>
      <c r="GS589" s="64"/>
      <c r="GT589" s="26"/>
      <c r="GU589" s="26"/>
      <c r="GV589" s="26"/>
      <c r="GW589" s="26"/>
      <c r="GX589" s="64"/>
      <c r="GY589" s="26"/>
      <c r="GZ589" s="26"/>
      <c r="HA589" s="26"/>
      <c r="HB589" s="26"/>
      <c r="HC589" s="65"/>
      <c r="HD589" s="26"/>
      <c r="HE589" s="26"/>
      <c r="HF589" s="26"/>
      <c r="HG589" s="26"/>
      <c r="HH589" s="65"/>
      <c r="HI589" s="26"/>
      <c r="HJ589" s="26"/>
      <c r="HK589" s="25"/>
      <c r="HL589" s="25"/>
    </row>
    <row r="590" spans="1:220" ht="15.75" customHeight="1" x14ac:dyDescent="0.2">
      <c r="A590" s="58">
        <v>43707.428506944445</v>
      </c>
      <c r="B590" s="32">
        <v>592423</v>
      </c>
      <c r="C590" s="72">
        <v>32</v>
      </c>
      <c r="D590" s="86" t="s">
        <v>631</v>
      </c>
      <c r="E590" s="32">
        <f t="shared" si="19"/>
        <v>0</v>
      </c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  <c r="FJ590" s="25"/>
      <c r="FK590" s="25"/>
      <c r="FL590" s="25"/>
      <c r="FM590" s="25"/>
      <c r="FN590" s="25"/>
      <c r="FO590" s="25"/>
      <c r="FP590" s="25"/>
      <c r="FQ590" s="25"/>
      <c r="FR590" s="25"/>
      <c r="FS590" s="25"/>
      <c r="FT590" s="25"/>
      <c r="FU590" s="25"/>
      <c r="FV590" s="28"/>
      <c r="FW590" s="28"/>
      <c r="FX590" s="28"/>
      <c r="FY590" s="26"/>
      <c r="FZ590" s="26"/>
      <c r="GA590" s="26"/>
      <c r="GB590" s="26"/>
      <c r="GC590" s="26"/>
      <c r="GD590" s="26"/>
      <c r="GE590" s="26"/>
      <c r="GF590" s="26"/>
      <c r="GG590" s="26"/>
      <c r="GH590" s="26"/>
      <c r="GI590" s="26"/>
      <c r="GJ590" s="26"/>
      <c r="GK590" s="26"/>
      <c r="GL590" s="65"/>
      <c r="GM590" s="26"/>
      <c r="GN590" s="26">
        <v>32</v>
      </c>
      <c r="GO590" s="26"/>
      <c r="GP590" s="26"/>
      <c r="GQ590" s="26"/>
      <c r="GR590" s="26"/>
      <c r="GS590" s="64"/>
      <c r="GT590" s="26"/>
      <c r="GU590" s="26"/>
      <c r="GV590" s="26"/>
      <c r="GW590" s="26"/>
      <c r="GX590" s="64"/>
      <c r="GY590" s="26"/>
      <c r="GZ590" s="26"/>
      <c r="HA590" s="26"/>
      <c r="HB590" s="26"/>
      <c r="HC590" s="65"/>
      <c r="HD590" s="26"/>
      <c r="HE590" s="26"/>
      <c r="HF590" s="26"/>
      <c r="HG590" s="26"/>
      <c r="HH590" s="65"/>
      <c r="HI590" s="26"/>
      <c r="HJ590" s="26"/>
      <c r="HK590" s="25"/>
      <c r="HL590" s="25"/>
    </row>
    <row r="591" spans="1:220" ht="15.75" customHeight="1" x14ac:dyDescent="0.2">
      <c r="A591" s="58">
        <v>43707.411423611113</v>
      </c>
      <c r="B591" s="32">
        <v>592418</v>
      </c>
      <c r="C591" s="72">
        <v>39</v>
      </c>
      <c r="D591" s="86" t="s">
        <v>632</v>
      </c>
      <c r="E591" s="32">
        <f t="shared" si="19"/>
        <v>0</v>
      </c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  <c r="FJ591" s="25"/>
      <c r="FK591" s="25"/>
      <c r="FL591" s="25"/>
      <c r="FM591" s="25"/>
      <c r="FN591" s="25"/>
      <c r="FO591" s="25"/>
      <c r="FP591" s="25"/>
      <c r="FQ591" s="25"/>
      <c r="FR591" s="25"/>
      <c r="FS591" s="25"/>
      <c r="FT591" s="25"/>
      <c r="FU591" s="25"/>
      <c r="FV591" s="28"/>
      <c r="FW591" s="28"/>
      <c r="FX591" s="28"/>
      <c r="FY591" s="26"/>
      <c r="FZ591" s="26"/>
      <c r="GA591" s="26"/>
      <c r="GB591" s="26"/>
      <c r="GC591" s="26"/>
      <c r="GD591" s="26"/>
      <c r="GE591" s="26"/>
      <c r="GF591" s="26"/>
      <c r="GG591" s="26"/>
      <c r="GH591" s="26"/>
      <c r="GI591" s="26"/>
      <c r="GJ591" s="26"/>
      <c r="GK591" s="26"/>
      <c r="GL591" s="65"/>
      <c r="GM591" s="26"/>
      <c r="GN591" s="26">
        <v>39</v>
      </c>
      <c r="GO591" s="26"/>
      <c r="GP591" s="26"/>
      <c r="GQ591" s="26"/>
      <c r="GR591" s="26"/>
      <c r="GS591" s="64"/>
      <c r="GT591" s="26"/>
      <c r="GU591" s="26"/>
      <c r="GV591" s="26"/>
      <c r="GW591" s="26"/>
      <c r="GX591" s="64"/>
      <c r="GY591" s="26"/>
      <c r="GZ591" s="26"/>
      <c r="HA591" s="26"/>
      <c r="HB591" s="26"/>
      <c r="HC591" s="65"/>
      <c r="HD591" s="26"/>
      <c r="HE591" s="26"/>
      <c r="HF591" s="26"/>
      <c r="HG591" s="26"/>
      <c r="HH591" s="65"/>
      <c r="HI591" s="26"/>
      <c r="HJ591" s="26"/>
      <c r="HK591" s="25"/>
      <c r="HL591" s="25"/>
    </row>
    <row r="592" spans="1:220" ht="15.75" customHeight="1" x14ac:dyDescent="0.2">
      <c r="A592" s="58">
        <v>43705.57130787037</v>
      </c>
      <c r="B592" s="32">
        <v>592128</v>
      </c>
      <c r="C592" s="72">
        <v>40</v>
      </c>
      <c r="D592" s="86" t="s">
        <v>633</v>
      </c>
      <c r="E592" s="32">
        <f t="shared" si="19"/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  <c r="FJ592" s="25"/>
      <c r="FK592" s="25"/>
      <c r="FL592" s="25"/>
      <c r="FM592" s="25"/>
      <c r="FN592" s="25"/>
      <c r="FO592" s="25"/>
      <c r="FP592" s="25"/>
      <c r="FQ592" s="25"/>
      <c r="FR592" s="25"/>
      <c r="FS592" s="25"/>
      <c r="FT592" s="25"/>
      <c r="FU592" s="25"/>
      <c r="FV592" s="28"/>
      <c r="FW592" s="28"/>
      <c r="FX592" s="28"/>
      <c r="FY592" s="26"/>
      <c r="FZ592" s="26"/>
      <c r="GA592" s="26"/>
      <c r="GB592" s="26"/>
      <c r="GC592" s="26"/>
      <c r="GD592" s="26"/>
      <c r="GE592" s="26"/>
      <c r="GF592" s="26"/>
      <c r="GG592" s="26"/>
      <c r="GH592" s="26"/>
      <c r="GI592" s="26"/>
      <c r="GJ592" s="26"/>
      <c r="GK592" s="26"/>
      <c r="GL592" s="65"/>
      <c r="GM592" s="26"/>
      <c r="GN592" s="26">
        <v>40</v>
      </c>
      <c r="GO592" s="26"/>
      <c r="GP592" s="26"/>
      <c r="GQ592" s="26"/>
      <c r="GR592" s="26"/>
      <c r="GS592" s="64"/>
      <c r="GT592" s="26"/>
      <c r="GU592" s="26"/>
      <c r="GV592" s="26"/>
      <c r="GW592" s="26"/>
      <c r="GX592" s="64"/>
      <c r="GY592" s="26"/>
      <c r="GZ592" s="26"/>
      <c r="HA592" s="26"/>
      <c r="HB592" s="26"/>
      <c r="HC592" s="65"/>
      <c r="HD592" s="26"/>
      <c r="HE592" s="26"/>
      <c r="HF592" s="26"/>
      <c r="HG592" s="26"/>
      <c r="HH592" s="65"/>
      <c r="HI592" s="26"/>
      <c r="HJ592" s="26"/>
      <c r="HK592" s="25"/>
      <c r="HL592" s="25"/>
    </row>
    <row r="593" spans="1:220" ht="15.75" customHeight="1" x14ac:dyDescent="0.2">
      <c r="A593" s="58">
        <v>43705.57130787037</v>
      </c>
      <c r="B593" s="32">
        <v>592128</v>
      </c>
      <c r="C593" s="72">
        <v>23.643000000000001</v>
      </c>
      <c r="D593" s="86" t="s">
        <v>634</v>
      </c>
      <c r="E593" s="32">
        <f t="shared" si="19"/>
        <v>0</v>
      </c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  <c r="FJ593" s="25"/>
      <c r="FK593" s="25"/>
      <c r="FL593" s="25"/>
      <c r="FM593" s="25"/>
      <c r="FN593" s="25"/>
      <c r="FO593" s="25"/>
      <c r="FP593" s="25"/>
      <c r="FQ593" s="25"/>
      <c r="FR593" s="25"/>
      <c r="FS593" s="25"/>
      <c r="FT593" s="25"/>
      <c r="FU593" s="25"/>
      <c r="FV593" s="28"/>
      <c r="FW593" s="28"/>
      <c r="FX593" s="28"/>
      <c r="FY593" s="26"/>
      <c r="FZ593" s="26"/>
      <c r="GA593" s="26"/>
      <c r="GB593" s="26"/>
      <c r="GC593" s="26"/>
      <c r="GD593" s="26"/>
      <c r="GE593" s="26"/>
      <c r="GF593" s="26"/>
      <c r="GG593" s="26"/>
      <c r="GH593" s="26"/>
      <c r="GI593" s="26"/>
      <c r="GJ593" s="26"/>
      <c r="GK593" s="26"/>
      <c r="GL593" s="65"/>
      <c r="GM593" s="26"/>
      <c r="GN593" s="26"/>
      <c r="GO593" s="26"/>
      <c r="GP593" s="26">
        <v>23.643000000000001</v>
      </c>
      <c r="GQ593" s="26"/>
      <c r="GR593" s="26"/>
      <c r="GS593" s="64"/>
      <c r="GT593" s="26"/>
      <c r="GU593" s="26"/>
      <c r="GV593" s="26"/>
      <c r="GW593" s="26"/>
      <c r="GX593" s="64"/>
      <c r="GY593" s="26"/>
      <c r="GZ593" s="26"/>
      <c r="HA593" s="26"/>
      <c r="HB593" s="26"/>
      <c r="HC593" s="65"/>
      <c r="HD593" s="26"/>
      <c r="HE593" s="26"/>
      <c r="HF593" s="26"/>
      <c r="HG593" s="26"/>
      <c r="HH593" s="65"/>
      <c r="HI593" s="26"/>
      <c r="HJ593" s="26"/>
      <c r="HK593" s="25"/>
      <c r="HL593" s="25"/>
    </row>
    <row r="594" spans="1:220" ht="15.75" customHeight="1" x14ac:dyDescent="0.2">
      <c r="A594" s="58">
        <v>43705.57130787037</v>
      </c>
      <c r="B594" s="32">
        <v>592128</v>
      </c>
      <c r="C594" s="72">
        <v>27.835000000000001</v>
      </c>
      <c r="D594" s="86" t="s">
        <v>635</v>
      </c>
      <c r="E594" s="32">
        <f t="shared" si="19"/>
        <v>0</v>
      </c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  <c r="FJ594" s="25"/>
      <c r="FK594" s="25"/>
      <c r="FL594" s="25"/>
      <c r="FM594" s="25"/>
      <c r="FN594" s="25"/>
      <c r="FO594" s="25"/>
      <c r="FP594" s="25"/>
      <c r="FQ594" s="25"/>
      <c r="FR594" s="25"/>
      <c r="FS594" s="25"/>
      <c r="FT594" s="25"/>
      <c r="FU594" s="25"/>
      <c r="FV594" s="28"/>
      <c r="FW594" s="28"/>
      <c r="FX594" s="28"/>
      <c r="FY594" s="26"/>
      <c r="FZ594" s="26"/>
      <c r="GA594" s="26"/>
      <c r="GB594" s="26"/>
      <c r="GC594" s="26"/>
      <c r="GD594" s="26"/>
      <c r="GE594" s="26"/>
      <c r="GF594" s="26"/>
      <c r="GG594" s="26"/>
      <c r="GH594" s="26"/>
      <c r="GI594" s="26"/>
      <c r="GJ594" s="26"/>
      <c r="GK594" s="26"/>
      <c r="GL594" s="65"/>
      <c r="GM594" s="26"/>
      <c r="GN594" s="26"/>
      <c r="GO594" s="26"/>
      <c r="GP594" s="26">
        <v>27.835000000000001</v>
      </c>
      <c r="GQ594" s="26"/>
      <c r="GR594" s="26"/>
      <c r="GS594" s="64"/>
      <c r="GT594" s="26"/>
      <c r="GU594" s="26"/>
      <c r="GV594" s="26"/>
      <c r="GW594" s="26"/>
      <c r="GX594" s="64"/>
      <c r="GY594" s="26"/>
      <c r="GZ594" s="26"/>
      <c r="HA594" s="26"/>
      <c r="HB594" s="26"/>
      <c r="HC594" s="65"/>
      <c r="HD594" s="26"/>
      <c r="HE594" s="26"/>
      <c r="HF594" s="26"/>
      <c r="HG594" s="26"/>
      <c r="HH594" s="65"/>
      <c r="HI594" s="26"/>
      <c r="HJ594" s="26"/>
      <c r="HK594" s="25"/>
      <c r="HL594" s="25"/>
    </row>
    <row r="595" spans="1:220" ht="15.75" customHeight="1" x14ac:dyDescent="0.2">
      <c r="A595" s="58">
        <v>43705.57130787037</v>
      </c>
      <c r="B595" s="32">
        <v>592128</v>
      </c>
      <c r="C595" s="72">
        <v>25.847000000000001</v>
      </c>
      <c r="D595" s="86" t="s">
        <v>636</v>
      </c>
      <c r="E595" s="32">
        <f t="shared" si="19"/>
        <v>0</v>
      </c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  <c r="FJ595" s="25"/>
      <c r="FK595" s="25"/>
      <c r="FL595" s="25"/>
      <c r="FM595" s="25"/>
      <c r="FN595" s="25"/>
      <c r="FO595" s="25"/>
      <c r="FP595" s="25"/>
      <c r="FQ595" s="25"/>
      <c r="FR595" s="25"/>
      <c r="FS595" s="25"/>
      <c r="FT595" s="25"/>
      <c r="FU595" s="25"/>
      <c r="FV595" s="28"/>
      <c r="FW595" s="28"/>
      <c r="FX595" s="28"/>
      <c r="FY595" s="26"/>
      <c r="FZ595" s="26"/>
      <c r="GA595" s="26"/>
      <c r="GB595" s="26"/>
      <c r="GC595" s="26"/>
      <c r="GD595" s="26"/>
      <c r="GE595" s="26"/>
      <c r="GF595" s="26"/>
      <c r="GG595" s="26"/>
      <c r="GH595" s="26"/>
      <c r="GI595" s="26"/>
      <c r="GJ595" s="26"/>
      <c r="GK595" s="26"/>
      <c r="GL595" s="65"/>
      <c r="GM595" s="26"/>
      <c r="GN595" s="26"/>
      <c r="GO595" s="26"/>
      <c r="GP595" s="26">
        <v>25.847000000000001</v>
      </c>
      <c r="GQ595" s="26"/>
      <c r="GR595" s="26"/>
      <c r="GS595" s="64"/>
      <c r="GT595" s="26"/>
      <c r="GU595" s="26"/>
      <c r="GV595" s="26"/>
      <c r="GW595" s="26"/>
      <c r="GX595" s="64"/>
      <c r="GY595" s="26"/>
      <c r="GZ595" s="26"/>
      <c r="HA595" s="26"/>
      <c r="HB595" s="26"/>
      <c r="HC595" s="65"/>
      <c r="HD595" s="26"/>
      <c r="HE595" s="26"/>
      <c r="HF595" s="26"/>
      <c r="HG595" s="26"/>
      <c r="HH595" s="65"/>
      <c r="HI595" s="26"/>
      <c r="HJ595" s="26"/>
      <c r="HK595" s="25"/>
      <c r="HL595" s="25"/>
    </row>
    <row r="596" spans="1:220" ht="15.75" customHeight="1" x14ac:dyDescent="0.2">
      <c r="A596" s="58">
        <v>43705.57130787037</v>
      </c>
      <c r="B596" s="32">
        <v>592128</v>
      </c>
      <c r="C596" s="72">
        <v>24.745999999999999</v>
      </c>
      <c r="D596" s="86" t="s">
        <v>637</v>
      </c>
      <c r="E596" s="32">
        <f t="shared" si="19"/>
        <v>0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  <c r="FJ596" s="25"/>
      <c r="FK596" s="25"/>
      <c r="FL596" s="25"/>
      <c r="FM596" s="25"/>
      <c r="FN596" s="25"/>
      <c r="FO596" s="25"/>
      <c r="FP596" s="25"/>
      <c r="FQ596" s="25"/>
      <c r="FR596" s="25"/>
      <c r="FS596" s="25"/>
      <c r="FT596" s="25"/>
      <c r="FU596" s="25"/>
      <c r="FV596" s="28"/>
      <c r="FW596" s="28"/>
      <c r="FX596" s="28"/>
      <c r="FY596" s="26"/>
      <c r="FZ596" s="26"/>
      <c r="GA596" s="26"/>
      <c r="GB596" s="26"/>
      <c r="GC596" s="26"/>
      <c r="GD596" s="26"/>
      <c r="GE596" s="26"/>
      <c r="GF596" s="26"/>
      <c r="GG596" s="26"/>
      <c r="GH596" s="26"/>
      <c r="GI596" s="26"/>
      <c r="GJ596" s="26"/>
      <c r="GK596" s="26"/>
      <c r="GL596" s="65"/>
      <c r="GM596" s="26"/>
      <c r="GN596" s="26"/>
      <c r="GO596" s="26"/>
      <c r="GP596" s="26">
        <v>24.745999999999999</v>
      </c>
      <c r="GQ596" s="26"/>
      <c r="GR596" s="26"/>
      <c r="GS596" s="64"/>
      <c r="GT596" s="26"/>
      <c r="GU596" s="26"/>
      <c r="GV596" s="26"/>
      <c r="GW596" s="26"/>
      <c r="GX596" s="64"/>
      <c r="GY596" s="26"/>
      <c r="GZ596" s="26"/>
      <c r="HA596" s="26"/>
      <c r="HB596" s="26"/>
      <c r="HC596" s="65"/>
      <c r="HD596" s="26"/>
      <c r="HE596" s="26"/>
      <c r="HF596" s="26"/>
      <c r="HG596" s="26"/>
      <c r="HH596" s="65"/>
      <c r="HI596" s="26"/>
      <c r="HJ596" s="26"/>
      <c r="HK596" s="25"/>
      <c r="HL596" s="25"/>
    </row>
    <row r="597" spans="1:220" ht="15.75" customHeight="1" x14ac:dyDescent="0.2">
      <c r="A597" s="58">
        <v>43705.57130787037</v>
      </c>
      <c r="B597" s="32">
        <v>592128</v>
      </c>
      <c r="C597" s="72">
        <v>21.03</v>
      </c>
      <c r="D597" s="86" t="s">
        <v>638</v>
      </c>
      <c r="E597" s="32">
        <f t="shared" si="19"/>
        <v>0</v>
      </c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  <c r="FJ597" s="25"/>
      <c r="FK597" s="25"/>
      <c r="FL597" s="25"/>
      <c r="FM597" s="25"/>
      <c r="FN597" s="25"/>
      <c r="FO597" s="25"/>
      <c r="FP597" s="25"/>
      <c r="FQ597" s="25"/>
      <c r="FR597" s="25"/>
      <c r="FS597" s="25"/>
      <c r="FT597" s="25"/>
      <c r="FU597" s="25"/>
      <c r="FV597" s="28"/>
      <c r="FW597" s="28"/>
      <c r="FX597" s="28"/>
      <c r="FY597" s="26"/>
      <c r="FZ597" s="26"/>
      <c r="GA597" s="26"/>
      <c r="GB597" s="26"/>
      <c r="GC597" s="26"/>
      <c r="GD597" s="26"/>
      <c r="GE597" s="26"/>
      <c r="GF597" s="26"/>
      <c r="GG597" s="26"/>
      <c r="GH597" s="26"/>
      <c r="GI597" s="26"/>
      <c r="GJ597" s="26"/>
      <c r="GK597" s="26"/>
      <c r="GL597" s="65"/>
      <c r="GM597" s="26"/>
      <c r="GN597" s="26"/>
      <c r="GO597" s="26"/>
      <c r="GP597" s="26">
        <v>21.03</v>
      </c>
      <c r="GQ597" s="26"/>
      <c r="GR597" s="26"/>
      <c r="GS597" s="64"/>
      <c r="GT597" s="26"/>
      <c r="GU597" s="26"/>
      <c r="GV597" s="26"/>
      <c r="GW597" s="26"/>
      <c r="GX597" s="64"/>
      <c r="GY597" s="26"/>
      <c r="GZ597" s="26"/>
      <c r="HA597" s="26"/>
      <c r="HB597" s="26"/>
      <c r="HC597" s="65"/>
      <c r="HD597" s="26"/>
      <c r="HE597" s="26"/>
      <c r="HF597" s="26"/>
      <c r="HG597" s="26"/>
      <c r="HH597" s="65"/>
      <c r="HI597" s="26"/>
      <c r="HJ597" s="26"/>
      <c r="HK597" s="25"/>
      <c r="HL597" s="25"/>
    </row>
    <row r="598" spans="1:220" ht="15.75" customHeight="1" x14ac:dyDescent="0.2">
      <c r="A598" s="58">
        <v>43705.57130787037</v>
      </c>
      <c r="B598" s="32">
        <v>592128</v>
      </c>
      <c r="C598" s="72">
        <v>22.713999999999999</v>
      </c>
      <c r="D598" s="86" t="s">
        <v>639</v>
      </c>
      <c r="E598" s="32">
        <f t="shared" si="19"/>
        <v>0</v>
      </c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  <c r="FJ598" s="25"/>
      <c r="FK598" s="25"/>
      <c r="FL598" s="25"/>
      <c r="FM598" s="25"/>
      <c r="FN598" s="25"/>
      <c r="FO598" s="25"/>
      <c r="FP598" s="25"/>
      <c r="FQ598" s="25"/>
      <c r="FR598" s="25"/>
      <c r="FS598" s="25"/>
      <c r="FT598" s="25"/>
      <c r="FU598" s="25"/>
      <c r="FV598" s="28"/>
      <c r="FW598" s="28"/>
      <c r="FX598" s="28"/>
      <c r="FY598" s="26"/>
      <c r="FZ598" s="26"/>
      <c r="GA598" s="26"/>
      <c r="GB598" s="26"/>
      <c r="GC598" s="26"/>
      <c r="GD598" s="26"/>
      <c r="GE598" s="26"/>
      <c r="GF598" s="26"/>
      <c r="GG598" s="26"/>
      <c r="GH598" s="26"/>
      <c r="GI598" s="26"/>
      <c r="GJ598" s="26"/>
      <c r="GK598" s="26"/>
      <c r="GL598" s="65"/>
      <c r="GM598" s="26"/>
      <c r="GN598" s="26"/>
      <c r="GO598" s="26"/>
      <c r="GP598" s="26">
        <v>22.713999999999999</v>
      </c>
      <c r="GQ598" s="26"/>
      <c r="GR598" s="26"/>
      <c r="GS598" s="64"/>
      <c r="GT598" s="26"/>
      <c r="GU598" s="26"/>
      <c r="GV598" s="26"/>
      <c r="GW598" s="26"/>
      <c r="GX598" s="64"/>
      <c r="GY598" s="26"/>
      <c r="GZ598" s="26"/>
      <c r="HA598" s="26"/>
      <c r="HB598" s="26"/>
      <c r="HC598" s="65"/>
      <c r="HD598" s="26"/>
      <c r="HE598" s="26"/>
      <c r="HF598" s="26"/>
      <c r="HG598" s="26"/>
      <c r="HH598" s="65"/>
      <c r="HI598" s="26"/>
      <c r="HJ598" s="26"/>
      <c r="HK598" s="25"/>
      <c r="HL598" s="25"/>
    </row>
    <row r="599" spans="1:220" ht="15.75" customHeight="1" x14ac:dyDescent="0.2">
      <c r="A599" s="58">
        <v>43705.57130787037</v>
      </c>
      <c r="B599" s="32">
        <v>592128</v>
      </c>
      <c r="C599" s="72">
        <v>27.495999999999999</v>
      </c>
      <c r="D599" s="86" t="s">
        <v>640</v>
      </c>
      <c r="E599" s="32">
        <f t="shared" si="19"/>
        <v>0</v>
      </c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  <c r="FJ599" s="25"/>
      <c r="FK599" s="25"/>
      <c r="FL599" s="25"/>
      <c r="FM599" s="25"/>
      <c r="FN599" s="25"/>
      <c r="FO599" s="25"/>
      <c r="FP599" s="25"/>
      <c r="FQ599" s="25"/>
      <c r="FR599" s="25"/>
      <c r="FS599" s="25"/>
      <c r="FT599" s="25"/>
      <c r="FU599" s="25"/>
      <c r="FV599" s="28"/>
      <c r="FW599" s="28"/>
      <c r="FX599" s="28"/>
      <c r="FY599" s="26"/>
      <c r="FZ599" s="26"/>
      <c r="GA599" s="26"/>
      <c r="GB599" s="26"/>
      <c r="GC599" s="26"/>
      <c r="GD599" s="26"/>
      <c r="GE599" s="26"/>
      <c r="GF599" s="26"/>
      <c r="GG599" s="26"/>
      <c r="GH599" s="26"/>
      <c r="GI599" s="26"/>
      <c r="GJ599" s="26"/>
      <c r="GK599" s="26"/>
      <c r="GL599" s="65"/>
      <c r="GM599" s="26"/>
      <c r="GN599" s="26"/>
      <c r="GO599" s="26"/>
      <c r="GP599" s="26">
        <v>27.495999999999999</v>
      </c>
      <c r="GQ599" s="26"/>
      <c r="GR599" s="26"/>
      <c r="GS599" s="64"/>
      <c r="GT599" s="26"/>
      <c r="GU599" s="26"/>
      <c r="GV599" s="26"/>
      <c r="GW599" s="26"/>
      <c r="GX599" s="64"/>
      <c r="GY599" s="26"/>
      <c r="GZ599" s="26"/>
      <c r="HA599" s="26"/>
      <c r="HB599" s="26"/>
      <c r="HC599" s="65"/>
      <c r="HD599" s="26"/>
      <c r="HE599" s="26"/>
      <c r="HF599" s="26"/>
      <c r="HG599" s="26"/>
      <c r="HH599" s="65"/>
      <c r="HI599" s="26"/>
      <c r="HJ599" s="26"/>
      <c r="HK599" s="25"/>
      <c r="HL599" s="25"/>
    </row>
    <row r="600" spans="1:220" ht="15.75" customHeight="1" x14ac:dyDescent="0.2">
      <c r="A600" s="58">
        <v>43705.57130787037</v>
      </c>
      <c r="B600" s="32">
        <v>592128</v>
      </c>
      <c r="C600" s="72">
        <v>21.736000000000001</v>
      </c>
      <c r="D600" s="86" t="s">
        <v>641</v>
      </c>
      <c r="E600" s="32">
        <f t="shared" si="19"/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  <c r="FJ600" s="25"/>
      <c r="FK600" s="25"/>
      <c r="FL600" s="25"/>
      <c r="FM600" s="25"/>
      <c r="FN600" s="25"/>
      <c r="FO600" s="25"/>
      <c r="FP600" s="25"/>
      <c r="FQ600" s="25"/>
      <c r="FR600" s="25"/>
      <c r="FS600" s="25"/>
      <c r="FT600" s="25"/>
      <c r="FU600" s="25"/>
      <c r="FV600" s="28"/>
      <c r="FW600" s="28"/>
      <c r="FX600" s="28"/>
      <c r="FY600" s="26"/>
      <c r="FZ600" s="26"/>
      <c r="GA600" s="26"/>
      <c r="GB600" s="26"/>
      <c r="GC600" s="26"/>
      <c r="GD600" s="26"/>
      <c r="GE600" s="26"/>
      <c r="GF600" s="26"/>
      <c r="GG600" s="26"/>
      <c r="GH600" s="26"/>
      <c r="GI600" s="26"/>
      <c r="GJ600" s="26"/>
      <c r="GK600" s="26"/>
      <c r="GL600" s="65"/>
      <c r="GM600" s="26"/>
      <c r="GN600" s="26"/>
      <c r="GO600" s="26"/>
      <c r="GP600" s="26">
        <v>21.736000000000001</v>
      </c>
      <c r="GQ600" s="26"/>
      <c r="GR600" s="26"/>
      <c r="GS600" s="64"/>
      <c r="GT600" s="26"/>
      <c r="GU600" s="26"/>
      <c r="GV600" s="26"/>
      <c r="GW600" s="26"/>
      <c r="GX600" s="64"/>
      <c r="GY600" s="26"/>
      <c r="GZ600" s="26"/>
      <c r="HA600" s="26"/>
      <c r="HB600" s="26"/>
      <c r="HC600" s="65"/>
      <c r="HD600" s="26"/>
      <c r="HE600" s="26"/>
      <c r="HF600" s="26"/>
      <c r="HG600" s="26"/>
      <c r="HH600" s="65"/>
      <c r="HI600" s="26"/>
      <c r="HJ600" s="26"/>
      <c r="HK600" s="25"/>
      <c r="HL600" s="25"/>
    </row>
    <row r="601" spans="1:220" ht="15.75" customHeight="1" x14ac:dyDescent="0.2">
      <c r="A601" s="58">
        <v>43705.57130787037</v>
      </c>
      <c r="B601" s="32">
        <v>592128</v>
      </c>
      <c r="C601" s="72">
        <v>26.475000000000001</v>
      </c>
      <c r="D601" s="86" t="s">
        <v>642</v>
      </c>
      <c r="E601" s="32">
        <f t="shared" si="19"/>
        <v>0</v>
      </c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  <c r="FJ601" s="25"/>
      <c r="FK601" s="25"/>
      <c r="FL601" s="25"/>
      <c r="FM601" s="25"/>
      <c r="FN601" s="25"/>
      <c r="FO601" s="25"/>
      <c r="FP601" s="25"/>
      <c r="FQ601" s="25"/>
      <c r="FR601" s="25"/>
      <c r="FS601" s="25"/>
      <c r="FT601" s="25"/>
      <c r="FU601" s="25"/>
      <c r="FV601" s="28"/>
      <c r="FW601" s="28"/>
      <c r="FX601" s="28"/>
      <c r="FY601" s="26"/>
      <c r="FZ601" s="26"/>
      <c r="GA601" s="26"/>
      <c r="GB601" s="26"/>
      <c r="GC601" s="26"/>
      <c r="GD601" s="26"/>
      <c r="GE601" s="26"/>
      <c r="GF601" s="26"/>
      <c r="GG601" s="26"/>
      <c r="GH601" s="26"/>
      <c r="GI601" s="26"/>
      <c r="GJ601" s="26"/>
      <c r="GK601" s="26"/>
      <c r="GL601" s="65"/>
      <c r="GM601" s="26"/>
      <c r="GN601" s="26"/>
      <c r="GO601" s="26"/>
      <c r="GP601" s="26">
        <v>26.475000000000001</v>
      </c>
      <c r="GQ601" s="26"/>
      <c r="GR601" s="26"/>
      <c r="GS601" s="64"/>
      <c r="GT601" s="26"/>
      <c r="GU601" s="26"/>
      <c r="GV601" s="26"/>
      <c r="GW601" s="26"/>
      <c r="GX601" s="64"/>
      <c r="GY601" s="26"/>
      <c r="GZ601" s="26"/>
      <c r="HA601" s="26"/>
      <c r="HB601" s="26"/>
      <c r="HC601" s="65"/>
      <c r="HD601" s="26"/>
      <c r="HE601" s="26"/>
      <c r="HF601" s="26"/>
      <c r="HG601" s="26"/>
      <c r="HH601" s="65"/>
      <c r="HI601" s="26"/>
      <c r="HJ601" s="26"/>
      <c r="HK601" s="25"/>
      <c r="HL601" s="25"/>
    </row>
    <row r="602" spans="1:220" ht="15.75" customHeight="1" x14ac:dyDescent="0.2">
      <c r="A602" s="58">
        <v>43705.57130787037</v>
      </c>
      <c r="B602" s="32">
        <v>592128</v>
      </c>
      <c r="C602" s="72">
        <v>26.396999999999998</v>
      </c>
      <c r="D602" s="86" t="s">
        <v>643</v>
      </c>
      <c r="E602" s="32">
        <f t="shared" si="19"/>
        <v>0</v>
      </c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  <c r="FJ602" s="25"/>
      <c r="FK602" s="25"/>
      <c r="FL602" s="25"/>
      <c r="FM602" s="25"/>
      <c r="FN602" s="25"/>
      <c r="FO602" s="25"/>
      <c r="FP602" s="25"/>
      <c r="FQ602" s="25"/>
      <c r="FR602" s="25"/>
      <c r="FS602" s="25"/>
      <c r="FT602" s="25"/>
      <c r="FU602" s="25"/>
      <c r="FV602" s="28"/>
      <c r="FW602" s="28"/>
      <c r="FX602" s="28"/>
      <c r="FY602" s="26"/>
      <c r="FZ602" s="26"/>
      <c r="GA602" s="26"/>
      <c r="GB602" s="26"/>
      <c r="GC602" s="26"/>
      <c r="GD602" s="26"/>
      <c r="GE602" s="26"/>
      <c r="GF602" s="26"/>
      <c r="GG602" s="26"/>
      <c r="GH602" s="26"/>
      <c r="GI602" s="26"/>
      <c r="GJ602" s="26"/>
      <c r="GK602" s="26"/>
      <c r="GL602" s="65"/>
      <c r="GM602" s="26"/>
      <c r="GN602" s="26"/>
      <c r="GO602" s="26"/>
      <c r="GP602" s="26">
        <v>26.396999999999998</v>
      </c>
      <c r="GQ602" s="26"/>
      <c r="GR602" s="26"/>
      <c r="GS602" s="64"/>
      <c r="GT602" s="26"/>
      <c r="GU602" s="26"/>
      <c r="GV602" s="26"/>
      <c r="GW602" s="26"/>
      <c r="GX602" s="64"/>
      <c r="GY602" s="26"/>
      <c r="GZ602" s="26"/>
      <c r="HA602" s="26"/>
      <c r="HB602" s="26"/>
      <c r="HC602" s="65"/>
      <c r="HD602" s="26"/>
      <c r="HE602" s="26"/>
      <c r="HF602" s="26"/>
      <c r="HG602" s="26"/>
      <c r="HH602" s="65"/>
      <c r="HI602" s="26"/>
      <c r="HJ602" s="26"/>
      <c r="HK602" s="25"/>
      <c r="HL602" s="25"/>
    </row>
    <row r="603" spans="1:220" ht="15.75" customHeight="1" x14ac:dyDescent="0.2">
      <c r="A603" s="58">
        <v>43705.57130787037</v>
      </c>
      <c r="B603" s="32">
        <v>592128</v>
      </c>
      <c r="C603" s="72">
        <v>24.152999999999999</v>
      </c>
      <c r="D603" s="86" t="s">
        <v>644</v>
      </c>
      <c r="E603" s="32">
        <f t="shared" si="19"/>
        <v>0</v>
      </c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  <c r="FJ603" s="25"/>
      <c r="FK603" s="25"/>
      <c r="FL603" s="25"/>
      <c r="FM603" s="25"/>
      <c r="FN603" s="25"/>
      <c r="FO603" s="25"/>
      <c r="FP603" s="25"/>
      <c r="FQ603" s="25"/>
      <c r="FR603" s="25"/>
      <c r="FS603" s="25"/>
      <c r="FT603" s="25"/>
      <c r="FU603" s="25"/>
      <c r="FV603" s="28"/>
      <c r="FW603" s="28"/>
      <c r="FX603" s="28"/>
      <c r="FY603" s="26"/>
      <c r="FZ603" s="26"/>
      <c r="GA603" s="26"/>
      <c r="GB603" s="26"/>
      <c r="GC603" s="26"/>
      <c r="GD603" s="26"/>
      <c r="GE603" s="26"/>
      <c r="GF603" s="26"/>
      <c r="GG603" s="26"/>
      <c r="GH603" s="26"/>
      <c r="GI603" s="26"/>
      <c r="GJ603" s="26"/>
      <c r="GK603" s="26"/>
      <c r="GL603" s="65"/>
      <c r="GM603" s="26"/>
      <c r="GN603" s="26"/>
      <c r="GO603" s="26"/>
      <c r="GP603" s="26">
        <v>24.152999999999999</v>
      </c>
      <c r="GQ603" s="26"/>
      <c r="GR603" s="26"/>
      <c r="GS603" s="64"/>
      <c r="GT603" s="26"/>
      <c r="GU603" s="26"/>
      <c r="GV603" s="26"/>
      <c r="GW603" s="26"/>
      <c r="GX603" s="64"/>
      <c r="GY603" s="26"/>
      <c r="GZ603" s="26"/>
      <c r="HA603" s="26"/>
      <c r="HB603" s="26"/>
      <c r="HC603" s="65"/>
      <c r="HD603" s="26"/>
      <c r="HE603" s="26"/>
      <c r="HF603" s="26"/>
      <c r="HG603" s="26"/>
      <c r="HH603" s="65"/>
      <c r="HI603" s="26"/>
      <c r="HJ603" s="26"/>
      <c r="HK603" s="25"/>
      <c r="HL603" s="25"/>
    </row>
    <row r="604" spans="1:220" ht="15.75" customHeight="1" x14ac:dyDescent="0.2">
      <c r="A604" s="58">
        <v>43705.57130787037</v>
      </c>
      <c r="B604" s="32">
        <v>592128</v>
      </c>
      <c r="C604" s="72">
        <v>38.524999999999999</v>
      </c>
      <c r="D604" s="86" t="s">
        <v>645</v>
      </c>
      <c r="E604" s="32">
        <f t="shared" si="19"/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  <c r="FJ604" s="25"/>
      <c r="FK604" s="25"/>
      <c r="FL604" s="25"/>
      <c r="FM604" s="25"/>
      <c r="FN604" s="25"/>
      <c r="FO604" s="25"/>
      <c r="FP604" s="25"/>
      <c r="FQ604" s="25"/>
      <c r="FR604" s="25"/>
      <c r="FS604" s="25"/>
      <c r="FT604" s="25"/>
      <c r="FU604" s="25"/>
      <c r="FV604" s="28"/>
      <c r="FW604" s="28"/>
      <c r="FX604" s="28"/>
      <c r="FY604" s="26"/>
      <c r="FZ604" s="26"/>
      <c r="GA604" s="26"/>
      <c r="GB604" s="26"/>
      <c r="GC604" s="26"/>
      <c r="GD604" s="26"/>
      <c r="GE604" s="26"/>
      <c r="GF604" s="26"/>
      <c r="GG604" s="26"/>
      <c r="GH604" s="26"/>
      <c r="GI604" s="26"/>
      <c r="GJ604" s="26"/>
      <c r="GK604" s="26"/>
      <c r="GL604" s="65"/>
      <c r="GM604" s="26"/>
      <c r="GN604" s="26"/>
      <c r="GO604" s="26"/>
      <c r="GP604" s="26">
        <v>38.524999999999999</v>
      </c>
      <c r="GQ604" s="26"/>
      <c r="GR604" s="26"/>
      <c r="GS604" s="64"/>
      <c r="GT604" s="26"/>
      <c r="GU604" s="26"/>
      <c r="GV604" s="26"/>
      <c r="GW604" s="26"/>
      <c r="GX604" s="64"/>
      <c r="GY604" s="26"/>
      <c r="GZ604" s="26"/>
      <c r="HA604" s="26"/>
      <c r="HB604" s="26"/>
      <c r="HC604" s="65"/>
      <c r="HD604" s="26"/>
      <c r="HE604" s="26"/>
      <c r="HF604" s="26"/>
      <c r="HG604" s="26"/>
      <c r="HH604" s="65"/>
      <c r="HI604" s="26"/>
      <c r="HJ604" s="26"/>
      <c r="HK604" s="25"/>
      <c r="HL604" s="25"/>
    </row>
    <row r="605" spans="1:220" ht="15.75" customHeight="1" x14ac:dyDescent="0.2">
      <c r="A605" s="58">
        <v>43705.57130787037</v>
      </c>
      <c r="B605" s="32">
        <v>592128</v>
      </c>
      <c r="C605" s="72">
        <v>27.286000000000001</v>
      </c>
      <c r="D605" s="86" t="s">
        <v>646</v>
      </c>
      <c r="E605" s="32">
        <f t="shared" si="19"/>
        <v>0</v>
      </c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  <c r="FJ605" s="25"/>
      <c r="FK605" s="25"/>
      <c r="FL605" s="25"/>
      <c r="FM605" s="25"/>
      <c r="FN605" s="25"/>
      <c r="FO605" s="25"/>
      <c r="FP605" s="25"/>
      <c r="FQ605" s="25"/>
      <c r="FR605" s="25"/>
      <c r="FS605" s="25"/>
      <c r="FT605" s="25"/>
      <c r="FU605" s="25"/>
      <c r="FV605" s="28"/>
      <c r="FW605" s="28"/>
      <c r="FX605" s="28"/>
      <c r="FY605" s="26"/>
      <c r="FZ605" s="26"/>
      <c r="GA605" s="26"/>
      <c r="GB605" s="26"/>
      <c r="GC605" s="26"/>
      <c r="GD605" s="26"/>
      <c r="GE605" s="26"/>
      <c r="GF605" s="26"/>
      <c r="GG605" s="26"/>
      <c r="GH605" s="26"/>
      <c r="GI605" s="26"/>
      <c r="GJ605" s="26"/>
      <c r="GK605" s="26"/>
      <c r="GL605" s="65"/>
      <c r="GM605" s="26"/>
      <c r="GN605" s="26"/>
      <c r="GO605" s="26"/>
      <c r="GP605" s="26">
        <v>27.286000000000001</v>
      </c>
      <c r="GQ605" s="26"/>
      <c r="GR605" s="26"/>
      <c r="GS605" s="64"/>
      <c r="GT605" s="26"/>
      <c r="GU605" s="26"/>
      <c r="GV605" s="26"/>
      <c r="GW605" s="26"/>
      <c r="GX605" s="64"/>
      <c r="GY605" s="26"/>
      <c r="GZ605" s="26"/>
      <c r="HA605" s="26"/>
      <c r="HB605" s="26"/>
      <c r="HC605" s="65"/>
      <c r="HD605" s="26"/>
      <c r="HE605" s="26"/>
      <c r="HF605" s="26"/>
      <c r="HG605" s="26"/>
      <c r="HH605" s="65"/>
      <c r="HI605" s="26"/>
      <c r="HJ605" s="26"/>
      <c r="HK605" s="25"/>
      <c r="HL605" s="25"/>
    </row>
    <row r="606" spans="1:220" ht="15.75" customHeight="1" x14ac:dyDescent="0.2">
      <c r="A606" s="58">
        <v>43705.57130787037</v>
      </c>
      <c r="B606" s="32">
        <v>592128</v>
      </c>
      <c r="C606" s="72">
        <v>25.254000000000001</v>
      </c>
      <c r="D606" s="86" t="s">
        <v>647</v>
      </c>
      <c r="E606" s="32">
        <f t="shared" si="19"/>
        <v>0</v>
      </c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  <c r="FJ606" s="25"/>
      <c r="FK606" s="25"/>
      <c r="FL606" s="25"/>
      <c r="FM606" s="25"/>
      <c r="FN606" s="25"/>
      <c r="FO606" s="25"/>
      <c r="FP606" s="25"/>
      <c r="FQ606" s="25"/>
      <c r="FR606" s="25"/>
      <c r="FS606" s="25"/>
      <c r="FT606" s="25"/>
      <c r="FU606" s="25"/>
      <c r="FV606" s="28"/>
      <c r="FW606" s="28"/>
      <c r="FX606" s="28"/>
      <c r="FY606" s="26"/>
      <c r="FZ606" s="26"/>
      <c r="GA606" s="26"/>
      <c r="GB606" s="26"/>
      <c r="GC606" s="26"/>
      <c r="GD606" s="26"/>
      <c r="GE606" s="26"/>
      <c r="GF606" s="26"/>
      <c r="GG606" s="26"/>
      <c r="GH606" s="26"/>
      <c r="GI606" s="26"/>
      <c r="GJ606" s="26"/>
      <c r="GK606" s="26"/>
      <c r="GL606" s="65"/>
      <c r="GM606" s="26"/>
      <c r="GN606" s="26"/>
      <c r="GO606" s="26"/>
      <c r="GP606" s="26">
        <v>25.254000000000001</v>
      </c>
      <c r="GQ606" s="26"/>
      <c r="GR606" s="26"/>
      <c r="GS606" s="64"/>
      <c r="GT606" s="26"/>
      <c r="GU606" s="26"/>
      <c r="GV606" s="26"/>
      <c r="GW606" s="26"/>
      <c r="GX606" s="64"/>
      <c r="GY606" s="26"/>
      <c r="GZ606" s="26"/>
      <c r="HA606" s="26"/>
      <c r="HB606" s="26"/>
      <c r="HC606" s="65"/>
      <c r="HD606" s="26"/>
      <c r="HE606" s="26"/>
      <c r="HF606" s="26"/>
      <c r="HG606" s="26"/>
      <c r="HH606" s="65"/>
      <c r="HI606" s="26"/>
      <c r="HJ606" s="26"/>
      <c r="HK606" s="25"/>
      <c r="HL606" s="25"/>
    </row>
    <row r="607" spans="1:220" ht="15.75" customHeight="1" x14ac:dyDescent="0.2">
      <c r="A607" s="58">
        <v>43705.57130787037</v>
      </c>
      <c r="B607" s="32">
        <v>592128</v>
      </c>
      <c r="C607" s="72">
        <v>25.137</v>
      </c>
      <c r="D607" s="86" t="s">
        <v>648</v>
      </c>
      <c r="E607" s="32">
        <f t="shared" si="19"/>
        <v>0</v>
      </c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  <c r="FJ607" s="25"/>
      <c r="FK607" s="25"/>
      <c r="FL607" s="25"/>
      <c r="FM607" s="25"/>
      <c r="FN607" s="25"/>
      <c r="FO607" s="25"/>
      <c r="FP607" s="25"/>
      <c r="FQ607" s="25"/>
      <c r="FR607" s="25"/>
      <c r="FS607" s="25"/>
      <c r="FT607" s="25"/>
      <c r="FU607" s="25"/>
      <c r="FV607" s="28"/>
      <c r="FW607" s="28"/>
      <c r="FX607" s="28"/>
      <c r="FY607" s="26"/>
      <c r="FZ607" s="26"/>
      <c r="GA607" s="26"/>
      <c r="GB607" s="26"/>
      <c r="GC607" s="26"/>
      <c r="GD607" s="26"/>
      <c r="GE607" s="26"/>
      <c r="GF607" s="26"/>
      <c r="GG607" s="26"/>
      <c r="GH607" s="26"/>
      <c r="GI607" s="26"/>
      <c r="GJ607" s="26"/>
      <c r="GK607" s="26"/>
      <c r="GL607" s="65"/>
      <c r="GM607" s="26"/>
      <c r="GN607" s="26"/>
      <c r="GO607" s="26"/>
      <c r="GP607" s="26">
        <v>25.137</v>
      </c>
      <c r="GQ607" s="26"/>
      <c r="GR607" s="26"/>
      <c r="GS607" s="64"/>
      <c r="GT607" s="26"/>
      <c r="GU607" s="26"/>
      <c r="GV607" s="26"/>
      <c r="GW607" s="26"/>
      <c r="GX607" s="64"/>
      <c r="GY607" s="26"/>
      <c r="GZ607" s="26"/>
      <c r="HA607" s="26"/>
      <c r="HB607" s="26"/>
      <c r="HC607" s="65"/>
      <c r="HD607" s="26"/>
      <c r="HE607" s="26"/>
      <c r="HF607" s="26"/>
      <c r="HG607" s="26"/>
      <c r="HH607" s="65"/>
      <c r="HI607" s="26"/>
      <c r="HJ607" s="26"/>
      <c r="HK607" s="25"/>
      <c r="HL607" s="25"/>
    </row>
    <row r="608" spans="1:220" ht="15.75" customHeight="1" x14ac:dyDescent="0.2">
      <c r="A608" s="58">
        <v>43705.57130787037</v>
      </c>
      <c r="B608" s="32">
        <v>592128</v>
      </c>
      <c r="C608" s="72">
        <v>22.5</v>
      </c>
      <c r="D608" s="86" t="s">
        <v>649</v>
      </c>
      <c r="E608" s="32">
        <f t="shared" si="19"/>
        <v>0</v>
      </c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  <c r="FJ608" s="25"/>
      <c r="FK608" s="25"/>
      <c r="FL608" s="25"/>
      <c r="FM608" s="25"/>
      <c r="FN608" s="25"/>
      <c r="FO608" s="25"/>
      <c r="FP608" s="25"/>
      <c r="FQ608" s="25"/>
      <c r="FR608" s="25"/>
      <c r="FS608" s="25"/>
      <c r="FT608" s="25"/>
      <c r="FU608" s="25"/>
      <c r="FV608" s="28"/>
      <c r="FW608" s="28"/>
      <c r="FX608" s="28"/>
      <c r="FY608" s="26"/>
      <c r="FZ608" s="26"/>
      <c r="GA608" s="26"/>
      <c r="GB608" s="26"/>
      <c r="GC608" s="26"/>
      <c r="GD608" s="26"/>
      <c r="GE608" s="26"/>
      <c r="GF608" s="26"/>
      <c r="GG608" s="26"/>
      <c r="GH608" s="26"/>
      <c r="GI608" s="26"/>
      <c r="GJ608" s="26"/>
      <c r="GK608" s="26"/>
      <c r="GL608" s="65"/>
      <c r="GM608" s="26"/>
      <c r="GN608" s="26"/>
      <c r="GO608" s="26"/>
      <c r="GP608" s="26">
        <v>22.5</v>
      </c>
      <c r="GQ608" s="26"/>
      <c r="GR608" s="26"/>
      <c r="GS608" s="64"/>
      <c r="GT608" s="26"/>
      <c r="GU608" s="26"/>
      <c r="GV608" s="26"/>
      <c r="GW608" s="26"/>
      <c r="GX608" s="64"/>
      <c r="GY608" s="26"/>
      <c r="GZ608" s="26"/>
      <c r="HA608" s="26"/>
      <c r="HB608" s="26"/>
      <c r="HC608" s="65"/>
      <c r="HD608" s="26"/>
      <c r="HE608" s="26"/>
      <c r="HF608" s="26"/>
      <c r="HG608" s="26"/>
      <c r="HH608" s="65"/>
      <c r="HI608" s="26"/>
      <c r="HJ608" s="26"/>
      <c r="HK608" s="25"/>
      <c r="HL608" s="25"/>
    </row>
    <row r="609" spans="1:220" ht="15.75" customHeight="1" x14ac:dyDescent="0.2">
      <c r="A609" s="58">
        <v>43705.57130787037</v>
      </c>
      <c r="B609" s="32">
        <v>592128</v>
      </c>
      <c r="C609" s="73">
        <v>22.164999999999999</v>
      </c>
      <c r="D609" s="86" t="s">
        <v>650</v>
      </c>
      <c r="E609" s="32">
        <f t="shared" si="19"/>
        <v>0</v>
      </c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  <c r="FJ609" s="25"/>
      <c r="FK609" s="25"/>
      <c r="FL609" s="25"/>
      <c r="FM609" s="25"/>
      <c r="FN609" s="25"/>
      <c r="FO609" s="25"/>
      <c r="FP609" s="25"/>
      <c r="FQ609" s="25"/>
      <c r="FR609" s="25"/>
      <c r="FS609" s="25"/>
      <c r="FT609" s="25"/>
      <c r="FU609" s="25"/>
      <c r="FV609" s="28"/>
      <c r="FW609" s="28"/>
      <c r="FX609" s="28"/>
      <c r="FY609" s="26"/>
      <c r="FZ609" s="26"/>
      <c r="GA609" s="26"/>
      <c r="GB609" s="26"/>
      <c r="GC609" s="26"/>
      <c r="GD609" s="26"/>
      <c r="GE609" s="26"/>
      <c r="GF609" s="26"/>
      <c r="GG609" s="26"/>
      <c r="GH609" s="26"/>
      <c r="GI609" s="26"/>
      <c r="GJ609" s="26"/>
      <c r="GK609" s="26"/>
      <c r="GL609" s="65"/>
      <c r="GM609" s="26"/>
      <c r="GN609" s="26"/>
      <c r="GO609" s="26"/>
      <c r="GP609" s="26">
        <v>22.164999999999999</v>
      </c>
      <c r="GQ609" s="26"/>
      <c r="GR609" s="26"/>
      <c r="GS609" s="64"/>
      <c r="GT609" s="26"/>
      <c r="GU609" s="26"/>
      <c r="GV609" s="26"/>
      <c r="GW609" s="26"/>
      <c r="GX609" s="64"/>
      <c r="GY609" s="26"/>
      <c r="GZ609" s="26"/>
      <c r="HA609" s="26"/>
      <c r="HB609" s="26"/>
      <c r="HC609" s="65"/>
      <c r="HD609" s="26"/>
      <c r="HE609" s="26"/>
      <c r="HF609" s="26"/>
      <c r="HG609" s="26"/>
      <c r="HH609" s="65"/>
      <c r="HI609" s="26"/>
      <c r="HJ609" s="26"/>
      <c r="HK609" s="25"/>
      <c r="HL609" s="25"/>
    </row>
    <row r="610" spans="1:220" ht="15.75" customHeight="1" x14ac:dyDescent="0.2">
      <c r="A610" s="58">
        <v>43705.57130787037</v>
      </c>
      <c r="B610" s="32">
        <v>592128</v>
      </c>
      <c r="C610" s="72">
        <v>23.524999999999999</v>
      </c>
      <c r="D610" s="86" t="s">
        <v>651</v>
      </c>
      <c r="E610" s="32">
        <f t="shared" si="19"/>
        <v>0</v>
      </c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  <c r="FJ610" s="25"/>
      <c r="FK610" s="25"/>
      <c r="FL610" s="25"/>
      <c r="FM610" s="25"/>
      <c r="FN610" s="25"/>
      <c r="FO610" s="25"/>
      <c r="FP610" s="25"/>
      <c r="FQ610" s="25"/>
      <c r="FR610" s="25"/>
      <c r="FS610" s="25"/>
      <c r="FT610" s="25"/>
      <c r="FU610" s="25"/>
      <c r="FV610" s="28"/>
      <c r="FW610" s="28"/>
      <c r="FX610" s="28"/>
      <c r="FY610" s="26"/>
      <c r="FZ610" s="26"/>
      <c r="GA610" s="26"/>
      <c r="GB610" s="26"/>
      <c r="GC610" s="26"/>
      <c r="GD610" s="26"/>
      <c r="GE610" s="26"/>
      <c r="GF610" s="26"/>
      <c r="GG610" s="26"/>
      <c r="GH610" s="26"/>
      <c r="GI610" s="26"/>
      <c r="GJ610" s="26"/>
      <c r="GK610" s="26"/>
      <c r="GL610" s="65"/>
      <c r="GM610" s="26"/>
      <c r="GN610" s="26"/>
      <c r="GO610" s="26"/>
      <c r="GP610" s="26">
        <v>23.524999999999999</v>
      </c>
      <c r="GQ610" s="26"/>
      <c r="GR610" s="26"/>
      <c r="GS610" s="64"/>
      <c r="GT610" s="26"/>
      <c r="GU610" s="26"/>
      <c r="GV610" s="26"/>
      <c r="GW610" s="26"/>
      <c r="GX610" s="64"/>
      <c r="GY610" s="26"/>
      <c r="GZ610" s="26"/>
      <c r="HA610" s="26"/>
      <c r="HB610" s="26"/>
      <c r="HC610" s="65"/>
      <c r="HD610" s="26"/>
      <c r="HE610" s="26"/>
      <c r="HF610" s="26"/>
      <c r="HG610" s="26"/>
      <c r="HH610" s="65"/>
      <c r="HI610" s="26"/>
      <c r="HJ610" s="26"/>
      <c r="HK610" s="25"/>
      <c r="HL610" s="25"/>
    </row>
    <row r="611" spans="1:220" ht="15.75" customHeight="1" x14ac:dyDescent="0.2">
      <c r="A611" s="58">
        <v>43705.151307870372</v>
      </c>
      <c r="B611" s="32">
        <v>592065</v>
      </c>
      <c r="C611" s="72">
        <v>20</v>
      </c>
      <c r="D611" s="86" t="s">
        <v>652</v>
      </c>
      <c r="E611" s="32">
        <f t="shared" si="19"/>
        <v>0</v>
      </c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  <c r="FJ611" s="25"/>
      <c r="FK611" s="25"/>
      <c r="FL611" s="25"/>
      <c r="FM611" s="25"/>
      <c r="FN611" s="25"/>
      <c r="FO611" s="25"/>
      <c r="FP611" s="25"/>
      <c r="FQ611" s="25"/>
      <c r="FR611" s="25"/>
      <c r="FS611" s="25"/>
      <c r="FT611" s="25"/>
      <c r="FU611" s="25"/>
      <c r="FV611" s="28"/>
      <c r="FW611" s="28"/>
      <c r="FX611" s="28"/>
      <c r="FY611" s="26"/>
      <c r="FZ611" s="26"/>
      <c r="GA611" s="26"/>
      <c r="GB611" s="26"/>
      <c r="GC611" s="26"/>
      <c r="GD611" s="26"/>
      <c r="GE611" s="26"/>
      <c r="GF611" s="26"/>
      <c r="GG611" s="26"/>
      <c r="GH611" s="26"/>
      <c r="GI611" s="26"/>
      <c r="GJ611" s="26"/>
      <c r="GK611" s="26"/>
      <c r="GL611" s="65"/>
      <c r="GM611" s="26"/>
      <c r="GN611" s="26"/>
      <c r="GO611" s="26"/>
      <c r="GP611" s="26">
        <v>20</v>
      </c>
      <c r="GQ611" s="26"/>
      <c r="GR611" s="26"/>
      <c r="GS611" s="64"/>
      <c r="GT611" s="26"/>
      <c r="GU611" s="26"/>
      <c r="GV611" s="26"/>
      <c r="GW611" s="26"/>
      <c r="GX611" s="64"/>
      <c r="GY611" s="26"/>
      <c r="GZ611" s="26"/>
      <c r="HA611" s="26"/>
      <c r="HB611" s="26"/>
      <c r="HC611" s="65"/>
      <c r="HD611" s="26"/>
      <c r="HE611" s="26"/>
      <c r="HF611" s="26"/>
      <c r="HG611" s="26"/>
      <c r="HH611" s="65"/>
      <c r="HI611" s="26"/>
      <c r="HJ611" s="26"/>
      <c r="HK611" s="25"/>
      <c r="HL611" s="25"/>
    </row>
    <row r="612" spans="1:220" ht="15.75" customHeight="1" x14ac:dyDescent="0.2">
      <c r="A612" s="58">
        <v>43705.117245370369</v>
      </c>
      <c r="B612" s="32">
        <v>592058</v>
      </c>
      <c r="C612" s="73">
        <v>30</v>
      </c>
      <c r="D612" s="86" t="s">
        <v>653</v>
      </c>
      <c r="E612" s="32">
        <f t="shared" si="19"/>
        <v>0</v>
      </c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  <c r="FJ612" s="25"/>
      <c r="FK612" s="25"/>
      <c r="FL612" s="25"/>
      <c r="FM612" s="25"/>
      <c r="FN612" s="25"/>
      <c r="FO612" s="25"/>
      <c r="FP612" s="25"/>
      <c r="FQ612" s="25"/>
      <c r="FR612" s="25"/>
      <c r="FS612" s="25"/>
      <c r="FT612" s="25"/>
      <c r="FU612" s="25"/>
      <c r="FV612" s="28"/>
      <c r="FW612" s="28"/>
      <c r="FX612" s="28"/>
      <c r="FY612" s="26"/>
      <c r="FZ612" s="26"/>
      <c r="GA612" s="26"/>
      <c r="GB612" s="26"/>
      <c r="GC612" s="26"/>
      <c r="GD612" s="26"/>
      <c r="GE612" s="26"/>
      <c r="GF612" s="26"/>
      <c r="GG612" s="26"/>
      <c r="GH612" s="26"/>
      <c r="GI612" s="26"/>
      <c r="GJ612" s="26"/>
      <c r="GK612" s="26"/>
      <c r="GL612" s="65"/>
      <c r="GM612" s="26"/>
      <c r="GN612" s="26"/>
      <c r="GO612" s="26"/>
      <c r="GP612" s="26">
        <v>30</v>
      </c>
      <c r="GQ612" s="26"/>
      <c r="GR612" s="26"/>
      <c r="GS612" s="64"/>
      <c r="GT612" s="26"/>
      <c r="GU612" s="26"/>
      <c r="GV612" s="26"/>
      <c r="GW612" s="26"/>
      <c r="GX612" s="64"/>
      <c r="GY612" s="26"/>
      <c r="GZ612" s="26"/>
      <c r="HA612" s="26"/>
      <c r="HB612" s="26"/>
      <c r="HC612" s="65"/>
      <c r="HD612" s="26"/>
      <c r="HE612" s="26"/>
      <c r="HF612" s="26"/>
      <c r="HG612" s="26"/>
      <c r="HH612" s="65"/>
      <c r="HI612" s="26"/>
      <c r="HJ612" s="26"/>
      <c r="HK612" s="25"/>
      <c r="HL612" s="25"/>
    </row>
    <row r="613" spans="1:220" ht="15.75" customHeight="1" x14ac:dyDescent="0.2">
      <c r="A613" s="71">
        <v>43704.687372685185</v>
      </c>
      <c r="B613" s="32">
        <v>591993</v>
      </c>
      <c r="C613" s="73">
        <v>50</v>
      </c>
      <c r="D613" s="86" t="s">
        <v>654</v>
      </c>
      <c r="E613" s="32">
        <f t="shared" si="19"/>
        <v>0</v>
      </c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  <c r="FJ613" s="25"/>
      <c r="FK613" s="25"/>
      <c r="FL613" s="25"/>
      <c r="FM613" s="25"/>
      <c r="FN613" s="25"/>
      <c r="FO613" s="25"/>
      <c r="FP613" s="25"/>
      <c r="FQ613" s="25"/>
      <c r="FR613" s="25"/>
      <c r="FS613" s="25"/>
      <c r="FT613" s="25"/>
      <c r="FU613" s="25"/>
      <c r="FV613" s="28"/>
      <c r="FW613" s="28"/>
      <c r="FX613" s="28"/>
      <c r="FY613" s="26"/>
      <c r="FZ613" s="26"/>
      <c r="GA613" s="26"/>
      <c r="GB613" s="26"/>
      <c r="GC613" s="26"/>
      <c r="GD613" s="26"/>
      <c r="GE613" s="26"/>
      <c r="GF613" s="26"/>
      <c r="GG613" s="26"/>
      <c r="GH613" s="26"/>
      <c r="GI613" s="26"/>
      <c r="GJ613" s="26"/>
      <c r="GK613" s="26"/>
      <c r="GL613" s="65"/>
      <c r="GM613" s="26"/>
      <c r="GN613" s="26"/>
      <c r="GO613" s="26"/>
      <c r="GP613" s="26"/>
      <c r="GQ613" s="26">
        <v>50</v>
      </c>
      <c r="GR613" s="26"/>
      <c r="GS613" s="64"/>
      <c r="GT613" s="26"/>
      <c r="GU613" s="26"/>
      <c r="GV613" s="26"/>
      <c r="GW613" s="26"/>
      <c r="GX613" s="64"/>
      <c r="GY613" s="26"/>
      <c r="GZ613" s="26"/>
      <c r="HA613" s="26"/>
      <c r="HB613" s="26"/>
      <c r="HC613" s="65"/>
      <c r="HD613" s="26"/>
      <c r="HE613" s="26"/>
      <c r="HF613" s="26"/>
      <c r="HG613" s="26"/>
      <c r="HH613" s="65"/>
      <c r="HI613" s="26"/>
      <c r="HJ613" s="26"/>
      <c r="HK613" s="25"/>
      <c r="HL613" s="25"/>
    </row>
    <row r="614" spans="1:220" ht="15.75" customHeight="1" x14ac:dyDescent="0.2">
      <c r="A614" s="58">
        <v>43704.383391203701</v>
      </c>
      <c r="B614" s="32">
        <v>591953</v>
      </c>
      <c r="C614" s="72">
        <v>30</v>
      </c>
      <c r="D614" s="86" t="s">
        <v>655</v>
      </c>
      <c r="E614" s="32">
        <f t="shared" si="19"/>
        <v>0</v>
      </c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  <c r="FJ614" s="25"/>
      <c r="FK614" s="25"/>
      <c r="FL614" s="25"/>
      <c r="FM614" s="25"/>
      <c r="FN614" s="25"/>
      <c r="FO614" s="25"/>
      <c r="FP614" s="25"/>
      <c r="FQ614" s="25"/>
      <c r="FR614" s="25"/>
      <c r="FS614" s="25"/>
      <c r="FT614" s="25"/>
      <c r="FU614" s="25"/>
      <c r="FV614" s="28"/>
      <c r="FW614" s="28"/>
      <c r="FX614" s="28"/>
      <c r="FY614" s="26"/>
      <c r="FZ614" s="26"/>
      <c r="GA614" s="26"/>
      <c r="GB614" s="26"/>
      <c r="GC614" s="26"/>
      <c r="GD614" s="26"/>
      <c r="GE614" s="26"/>
      <c r="GF614" s="26"/>
      <c r="GG614" s="26"/>
      <c r="GH614" s="26"/>
      <c r="GI614" s="26"/>
      <c r="GJ614" s="26"/>
      <c r="GK614" s="26"/>
      <c r="GL614" s="65"/>
      <c r="GM614" s="26"/>
      <c r="GN614" s="26"/>
      <c r="GO614" s="26"/>
      <c r="GP614" s="26"/>
      <c r="GQ614" s="26">
        <v>30</v>
      </c>
      <c r="GR614" s="26"/>
      <c r="GS614" s="64"/>
      <c r="GT614" s="26"/>
      <c r="GU614" s="26"/>
      <c r="GV614" s="26"/>
      <c r="GW614" s="26"/>
      <c r="GX614" s="64"/>
      <c r="GY614" s="26"/>
      <c r="GZ614" s="26"/>
      <c r="HA614" s="26"/>
      <c r="HB614" s="26"/>
      <c r="HC614" s="65"/>
      <c r="HD614" s="26"/>
      <c r="HE614" s="26"/>
      <c r="HF614" s="26"/>
      <c r="HG614" s="26"/>
      <c r="HH614" s="65"/>
      <c r="HI614" s="26"/>
      <c r="HJ614" s="26"/>
      <c r="HK614" s="25"/>
      <c r="HL614" s="25"/>
    </row>
    <row r="615" spans="1:220" ht="15.75" customHeight="1" x14ac:dyDescent="0.2">
      <c r="A615" s="58">
        <v>43703.696655092594</v>
      </c>
      <c r="B615" s="32">
        <v>591859</v>
      </c>
      <c r="C615" s="72">
        <v>40</v>
      </c>
      <c r="D615" s="86" t="s">
        <v>656</v>
      </c>
      <c r="E615" s="32">
        <f t="shared" si="19"/>
        <v>0</v>
      </c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  <c r="FJ615" s="25"/>
      <c r="FK615" s="25"/>
      <c r="FL615" s="25"/>
      <c r="FM615" s="25"/>
      <c r="FN615" s="25"/>
      <c r="FO615" s="25"/>
      <c r="FP615" s="25"/>
      <c r="FQ615" s="25"/>
      <c r="FR615" s="25"/>
      <c r="FS615" s="25"/>
      <c r="FT615" s="25"/>
      <c r="FU615" s="25"/>
      <c r="FV615" s="28"/>
      <c r="FW615" s="28"/>
      <c r="FX615" s="28"/>
      <c r="FY615" s="26"/>
      <c r="FZ615" s="26"/>
      <c r="GA615" s="26"/>
      <c r="GB615" s="26"/>
      <c r="GC615" s="26"/>
      <c r="GD615" s="26"/>
      <c r="GE615" s="26"/>
      <c r="GF615" s="26"/>
      <c r="GG615" s="26"/>
      <c r="GH615" s="26"/>
      <c r="GI615" s="26"/>
      <c r="GJ615" s="26"/>
      <c r="GK615" s="26"/>
      <c r="GL615" s="65"/>
      <c r="GM615" s="26"/>
      <c r="GN615" s="26"/>
      <c r="GO615" s="26"/>
      <c r="GP615" s="26"/>
      <c r="GQ615" s="26"/>
      <c r="GR615" s="26">
        <v>40</v>
      </c>
      <c r="GS615" s="64"/>
      <c r="GT615" s="26"/>
      <c r="GU615" s="26"/>
      <c r="GV615" s="26"/>
      <c r="GW615" s="26"/>
      <c r="GX615" s="64"/>
      <c r="GY615" s="26"/>
      <c r="GZ615" s="26"/>
      <c r="HA615" s="26"/>
      <c r="HB615" s="26"/>
      <c r="HC615" s="65"/>
      <c r="HD615" s="26"/>
      <c r="HE615" s="26"/>
      <c r="HF615" s="26"/>
      <c r="HG615" s="26"/>
      <c r="HH615" s="65"/>
      <c r="HI615" s="26"/>
      <c r="HJ615" s="26"/>
      <c r="HK615" s="25"/>
      <c r="HL615" s="25"/>
    </row>
    <row r="616" spans="1:220" ht="15.75" customHeight="1" x14ac:dyDescent="0.2">
      <c r="A616" s="58">
        <v>43703.412094907406</v>
      </c>
      <c r="B616" s="32">
        <v>591825</v>
      </c>
      <c r="C616" s="73">
        <v>30.77</v>
      </c>
      <c r="D616" s="86" t="s">
        <v>657</v>
      </c>
      <c r="E616" s="32">
        <f t="shared" si="19"/>
        <v>0</v>
      </c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  <c r="FJ616" s="25"/>
      <c r="FK616" s="25"/>
      <c r="FL616" s="25"/>
      <c r="FM616" s="25"/>
      <c r="FN616" s="25"/>
      <c r="FO616" s="25"/>
      <c r="FP616" s="25"/>
      <c r="FQ616" s="25"/>
      <c r="FR616" s="25"/>
      <c r="FS616" s="25"/>
      <c r="FT616" s="25"/>
      <c r="FU616" s="25"/>
      <c r="FV616" s="28"/>
      <c r="FW616" s="28"/>
      <c r="FX616" s="28"/>
      <c r="FY616" s="26"/>
      <c r="FZ616" s="26"/>
      <c r="GA616" s="26"/>
      <c r="GB616" s="26"/>
      <c r="GC616" s="26"/>
      <c r="GD616" s="26"/>
      <c r="GE616" s="26"/>
      <c r="GF616" s="26"/>
      <c r="GG616" s="26"/>
      <c r="GH616" s="26"/>
      <c r="GI616" s="26"/>
      <c r="GJ616" s="26"/>
      <c r="GK616" s="26"/>
      <c r="GL616" s="65"/>
      <c r="GM616" s="26"/>
      <c r="GN616" s="26"/>
      <c r="GO616" s="26"/>
      <c r="GP616" s="26"/>
      <c r="GQ616" s="26"/>
      <c r="GR616" s="26">
        <v>30.77</v>
      </c>
      <c r="GS616" s="64"/>
      <c r="GT616" s="26"/>
      <c r="GU616" s="26"/>
      <c r="GV616" s="26"/>
      <c r="GW616" s="26"/>
      <c r="GX616" s="64"/>
      <c r="GY616" s="26"/>
      <c r="GZ616" s="26"/>
      <c r="HA616" s="26"/>
      <c r="HB616" s="26"/>
      <c r="HC616" s="65"/>
      <c r="HD616" s="26"/>
      <c r="HE616" s="26"/>
      <c r="HF616" s="26"/>
      <c r="HG616" s="26"/>
      <c r="HH616" s="65"/>
      <c r="HI616" s="26"/>
      <c r="HJ616" s="26"/>
      <c r="HK616" s="25"/>
      <c r="HL616" s="25"/>
    </row>
    <row r="617" spans="1:220" ht="15.75" customHeight="1" x14ac:dyDescent="0.2">
      <c r="A617" s="57">
        <v>43702.431944444441</v>
      </c>
      <c r="B617" s="26">
        <v>591673</v>
      </c>
      <c r="C617" s="72">
        <v>65</v>
      </c>
      <c r="D617" s="86" t="s">
        <v>658</v>
      </c>
      <c r="E617" s="32">
        <f t="shared" si="19"/>
        <v>0</v>
      </c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  <c r="FJ617" s="25"/>
      <c r="FK617" s="25"/>
      <c r="FL617" s="25"/>
      <c r="FM617" s="25"/>
      <c r="FN617" s="25"/>
      <c r="FO617" s="25"/>
      <c r="FP617" s="25"/>
      <c r="FQ617" s="25"/>
      <c r="FR617" s="25"/>
      <c r="FS617" s="25"/>
      <c r="FT617" s="25"/>
      <c r="FU617" s="25"/>
      <c r="FV617" s="28"/>
      <c r="FW617" s="28"/>
      <c r="FX617" s="28"/>
      <c r="FY617" s="26"/>
      <c r="FZ617" s="26"/>
      <c r="GA617" s="26"/>
      <c r="GB617" s="26"/>
      <c r="GC617" s="26"/>
      <c r="GD617" s="26"/>
      <c r="GE617" s="26"/>
      <c r="GF617" s="26"/>
      <c r="GG617" s="26"/>
      <c r="GH617" s="26"/>
      <c r="GI617" s="26"/>
      <c r="GJ617" s="26"/>
      <c r="GK617" s="26"/>
      <c r="GL617" s="65"/>
      <c r="GM617" s="26"/>
      <c r="GN617" s="26"/>
      <c r="GO617" s="26"/>
      <c r="GP617" s="26"/>
      <c r="GQ617" s="26"/>
      <c r="GR617" s="26"/>
      <c r="GS617" s="64">
        <v>65</v>
      </c>
      <c r="GT617" s="26"/>
      <c r="GU617" s="26"/>
      <c r="GV617" s="26"/>
      <c r="GW617" s="26"/>
      <c r="GX617" s="64"/>
      <c r="GY617" s="26"/>
      <c r="GZ617" s="26"/>
      <c r="HA617" s="26"/>
      <c r="HB617" s="26"/>
      <c r="HC617" s="65"/>
      <c r="HD617" s="26"/>
      <c r="HE617" s="26"/>
      <c r="HF617" s="26"/>
      <c r="HG617" s="26"/>
      <c r="HH617" s="65"/>
      <c r="HI617" s="26"/>
      <c r="HJ617" s="26"/>
      <c r="HK617" s="25"/>
      <c r="HL617" s="25"/>
    </row>
    <row r="618" spans="1:220" ht="15.75" customHeight="1" x14ac:dyDescent="0.2">
      <c r="A618" s="57">
        <v>43702.40347222222</v>
      </c>
      <c r="B618" s="26">
        <v>591669</v>
      </c>
      <c r="C618" s="72">
        <v>52</v>
      </c>
      <c r="D618" s="86" t="s">
        <v>659</v>
      </c>
      <c r="E618" s="32">
        <f t="shared" si="19"/>
        <v>0</v>
      </c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  <c r="FJ618" s="25"/>
      <c r="FK618" s="25"/>
      <c r="FL618" s="25"/>
      <c r="FM618" s="25"/>
      <c r="FN618" s="25"/>
      <c r="FO618" s="25"/>
      <c r="FP618" s="25"/>
      <c r="FQ618" s="25"/>
      <c r="FR618" s="25"/>
      <c r="FS618" s="25"/>
      <c r="FT618" s="25"/>
      <c r="FU618" s="25"/>
      <c r="FV618" s="28"/>
      <c r="FW618" s="28"/>
      <c r="FX618" s="28"/>
      <c r="FY618" s="26"/>
      <c r="FZ618" s="26"/>
      <c r="GA618" s="26"/>
      <c r="GB618" s="26"/>
      <c r="GC618" s="26"/>
      <c r="GD618" s="26"/>
      <c r="GE618" s="26"/>
      <c r="GF618" s="26"/>
      <c r="GG618" s="26"/>
      <c r="GH618" s="26"/>
      <c r="GI618" s="26"/>
      <c r="GJ618" s="26"/>
      <c r="GK618" s="26"/>
      <c r="GL618" s="65"/>
      <c r="GM618" s="26"/>
      <c r="GN618" s="26"/>
      <c r="GO618" s="26"/>
      <c r="GP618" s="26"/>
      <c r="GQ618" s="26"/>
      <c r="GR618" s="26"/>
      <c r="GS618" s="64">
        <v>52</v>
      </c>
      <c r="GT618" s="26"/>
      <c r="GU618" s="26"/>
      <c r="GV618" s="26"/>
      <c r="GW618" s="26"/>
      <c r="GX618" s="64"/>
      <c r="GY618" s="26"/>
      <c r="GZ618" s="26"/>
      <c r="HA618" s="26"/>
      <c r="HB618" s="26"/>
      <c r="HC618" s="65"/>
      <c r="HD618" s="26"/>
      <c r="HE618" s="26"/>
      <c r="HF618" s="26"/>
      <c r="HG618" s="26"/>
      <c r="HH618" s="65"/>
      <c r="HI618" s="26"/>
      <c r="HJ618" s="26"/>
      <c r="HK618" s="25"/>
      <c r="HL618" s="25"/>
    </row>
    <row r="619" spans="1:220" ht="15.75" customHeight="1" x14ac:dyDescent="0.2">
      <c r="A619" s="57">
        <v>43702.40347222222</v>
      </c>
      <c r="B619" s="26">
        <v>591669</v>
      </c>
      <c r="C619" s="72">
        <v>57</v>
      </c>
      <c r="D619" s="86" t="s">
        <v>660</v>
      </c>
      <c r="E619" s="32">
        <f t="shared" si="19"/>
        <v>0</v>
      </c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  <c r="FJ619" s="25"/>
      <c r="FK619" s="25"/>
      <c r="FL619" s="25"/>
      <c r="FM619" s="25"/>
      <c r="FN619" s="25"/>
      <c r="FO619" s="25"/>
      <c r="FP619" s="25"/>
      <c r="FQ619" s="25"/>
      <c r="FR619" s="25"/>
      <c r="FS619" s="25"/>
      <c r="FT619" s="25"/>
      <c r="FU619" s="25"/>
      <c r="FV619" s="28"/>
      <c r="FW619" s="28"/>
      <c r="FX619" s="28"/>
      <c r="FY619" s="26"/>
      <c r="FZ619" s="26"/>
      <c r="GA619" s="26"/>
      <c r="GB619" s="26"/>
      <c r="GC619" s="26"/>
      <c r="GD619" s="26"/>
      <c r="GE619" s="26"/>
      <c r="GF619" s="26"/>
      <c r="GG619" s="26"/>
      <c r="GH619" s="26"/>
      <c r="GI619" s="26"/>
      <c r="GJ619" s="26"/>
      <c r="GK619" s="26"/>
      <c r="GL619" s="65"/>
      <c r="GM619" s="26"/>
      <c r="GN619" s="26"/>
      <c r="GO619" s="26"/>
      <c r="GP619" s="26"/>
      <c r="GQ619" s="26"/>
      <c r="GR619" s="26"/>
      <c r="GS619" s="64">
        <v>57</v>
      </c>
      <c r="GT619" s="26"/>
      <c r="GU619" s="26"/>
      <c r="GV619" s="26"/>
      <c r="GW619" s="26"/>
      <c r="GX619" s="64"/>
      <c r="GY619" s="26"/>
      <c r="GZ619" s="26"/>
      <c r="HA619" s="26"/>
      <c r="HB619" s="26"/>
      <c r="HC619" s="65"/>
      <c r="HD619" s="26"/>
      <c r="HE619" s="26"/>
      <c r="HF619" s="26"/>
      <c r="HG619" s="26"/>
      <c r="HH619" s="65"/>
      <c r="HI619" s="26"/>
      <c r="HJ619" s="26"/>
      <c r="HK619" s="25"/>
      <c r="HL619" s="25"/>
    </row>
    <row r="620" spans="1:220" ht="15.75" customHeight="1" x14ac:dyDescent="0.2">
      <c r="A620" s="58">
        <v>43702.397199074076</v>
      </c>
      <c r="B620" s="32">
        <v>591668</v>
      </c>
      <c r="C620" s="72">
        <v>63</v>
      </c>
      <c r="D620" s="86" t="s">
        <v>661</v>
      </c>
      <c r="E620" s="32">
        <f t="shared" si="19"/>
        <v>0</v>
      </c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  <c r="FJ620" s="25"/>
      <c r="FK620" s="25"/>
      <c r="FL620" s="25"/>
      <c r="FM620" s="25"/>
      <c r="FN620" s="25"/>
      <c r="FO620" s="25"/>
      <c r="FP620" s="25"/>
      <c r="FQ620" s="25"/>
      <c r="FR620" s="25"/>
      <c r="FS620" s="25"/>
      <c r="FT620" s="25"/>
      <c r="FU620" s="25"/>
      <c r="FV620" s="28"/>
      <c r="FW620" s="28"/>
      <c r="FX620" s="28"/>
      <c r="FY620" s="26"/>
      <c r="FZ620" s="26"/>
      <c r="GA620" s="26"/>
      <c r="GB620" s="26"/>
      <c r="GC620" s="26"/>
      <c r="GD620" s="26"/>
      <c r="GE620" s="26"/>
      <c r="GF620" s="26"/>
      <c r="GG620" s="26"/>
      <c r="GH620" s="26"/>
      <c r="GI620" s="26"/>
      <c r="GJ620" s="26"/>
      <c r="GK620" s="26"/>
      <c r="GL620" s="65"/>
      <c r="GM620" s="26"/>
      <c r="GN620" s="26"/>
      <c r="GO620" s="26"/>
      <c r="GP620" s="26"/>
      <c r="GQ620" s="26"/>
      <c r="GR620" s="26"/>
      <c r="GS620" s="64">
        <v>63</v>
      </c>
      <c r="GT620" s="26"/>
      <c r="GU620" s="26"/>
      <c r="GV620" s="26"/>
      <c r="GW620" s="26"/>
      <c r="GX620" s="64"/>
      <c r="GY620" s="26"/>
      <c r="GZ620" s="26"/>
      <c r="HA620" s="26"/>
      <c r="HB620" s="26"/>
      <c r="HC620" s="65"/>
      <c r="HD620" s="26"/>
      <c r="HE620" s="26"/>
      <c r="HF620" s="26"/>
      <c r="HG620" s="26"/>
      <c r="HH620" s="65"/>
      <c r="HI620" s="26"/>
      <c r="HJ620" s="26"/>
      <c r="HK620" s="25"/>
      <c r="HL620" s="25"/>
    </row>
    <row r="621" spans="1:220" ht="15.75" customHeight="1" x14ac:dyDescent="0.2">
      <c r="A621" s="58">
        <v>43702.397199074076</v>
      </c>
      <c r="B621" s="32">
        <v>591668</v>
      </c>
      <c r="C621" s="72">
        <v>50</v>
      </c>
      <c r="D621" s="86" t="s">
        <v>662</v>
      </c>
      <c r="E621" s="32">
        <f t="shared" si="19"/>
        <v>0</v>
      </c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  <c r="FJ621" s="25"/>
      <c r="FK621" s="25"/>
      <c r="FL621" s="25"/>
      <c r="FM621" s="25"/>
      <c r="FN621" s="25"/>
      <c r="FO621" s="25"/>
      <c r="FP621" s="25"/>
      <c r="FQ621" s="25"/>
      <c r="FR621" s="25"/>
      <c r="FS621" s="25"/>
      <c r="FT621" s="25"/>
      <c r="FU621" s="25"/>
      <c r="FV621" s="28"/>
      <c r="FW621" s="28"/>
      <c r="FX621" s="28"/>
      <c r="FY621" s="26"/>
      <c r="FZ621" s="26"/>
      <c r="GA621" s="26"/>
      <c r="GB621" s="26"/>
      <c r="GC621" s="26"/>
      <c r="GD621" s="26"/>
      <c r="GE621" s="26"/>
      <c r="GF621" s="26"/>
      <c r="GG621" s="26"/>
      <c r="GH621" s="26"/>
      <c r="GI621" s="26"/>
      <c r="GJ621" s="26"/>
      <c r="GK621" s="26"/>
      <c r="GL621" s="65"/>
      <c r="GM621" s="26"/>
      <c r="GN621" s="26"/>
      <c r="GO621" s="26"/>
      <c r="GP621" s="26"/>
      <c r="GQ621" s="26"/>
      <c r="GR621" s="26"/>
      <c r="GS621" s="64">
        <v>50</v>
      </c>
      <c r="GT621" s="26"/>
      <c r="GU621" s="26"/>
      <c r="GV621" s="26"/>
      <c r="GW621" s="26"/>
      <c r="GX621" s="64"/>
      <c r="GY621" s="26"/>
      <c r="GZ621" s="26"/>
      <c r="HA621" s="26"/>
      <c r="HB621" s="26"/>
      <c r="HC621" s="65"/>
      <c r="HD621" s="26"/>
      <c r="HE621" s="26"/>
      <c r="HF621" s="26"/>
      <c r="HG621" s="26"/>
      <c r="HH621" s="65"/>
      <c r="HI621" s="26"/>
      <c r="HJ621" s="26"/>
      <c r="HK621" s="25"/>
      <c r="HL621" s="25"/>
    </row>
    <row r="622" spans="1:220" ht="15.75" customHeight="1" x14ac:dyDescent="0.2">
      <c r="A622" s="57">
        <v>43702.393055555556</v>
      </c>
      <c r="B622" s="26">
        <v>591667</v>
      </c>
      <c r="C622" s="72">
        <v>67</v>
      </c>
      <c r="D622" s="86" t="s">
        <v>663</v>
      </c>
      <c r="E622" s="32">
        <f t="shared" si="19"/>
        <v>0</v>
      </c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  <c r="FJ622" s="25"/>
      <c r="FK622" s="25"/>
      <c r="FL622" s="25"/>
      <c r="FM622" s="25"/>
      <c r="FN622" s="25"/>
      <c r="FO622" s="25"/>
      <c r="FP622" s="25"/>
      <c r="FQ622" s="25"/>
      <c r="FR622" s="25"/>
      <c r="FS622" s="25"/>
      <c r="FT622" s="25"/>
      <c r="FU622" s="25"/>
      <c r="FV622" s="28"/>
      <c r="FW622" s="28"/>
      <c r="FX622" s="28"/>
      <c r="FY622" s="26"/>
      <c r="FZ622" s="26"/>
      <c r="GA622" s="26"/>
      <c r="GB622" s="26"/>
      <c r="GC622" s="26"/>
      <c r="GD622" s="26"/>
      <c r="GE622" s="26"/>
      <c r="GF622" s="26"/>
      <c r="GG622" s="26"/>
      <c r="GH622" s="26"/>
      <c r="GI622" s="26"/>
      <c r="GJ622" s="26"/>
      <c r="GK622" s="26"/>
      <c r="GL622" s="65"/>
      <c r="GM622" s="26"/>
      <c r="GN622" s="26"/>
      <c r="GO622" s="26"/>
      <c r="GP622" s="26"/>
      <c r="GQ622" s="26"/>
      <c r="GR622" s="26"/>
      <c r="GS622" s="64">
        <v>67</v>
      </c>
      <c r="GT622" s="26"/>
      <c r="GU622" s="26"/>
      <c r="GV622" s="26"/>
      <c r="GW622" s="26"/>
      <c r="GX622" s="64"/>
      <c r="GY622" s="26"/>
      <c r="GZ622" s="26"/>
      <c r="HA622" s="26"/>
      <c r="HB622" s="26"/>
      <c r="HC622" s="65"/>
      <c r="HD622" s="26"/>
      <c r="HE622" s="26"/>
      <c r="HF622" s="26"/>
      <c r="HG622" s="26"/>
      <c r="HH622" s="65"/>
      <c r="HI622" s="26"/>
      <c r="HJ622" s="26"/>
      <c r="HK622" s="25"/>
      <c r="HL622" s="25"/>
    </row>
    <row r="623" spans="1:220" ht="15.75" customHeight="1" x14ac:dyDescent="0.2">
      <c r="A623" s="57">
        <v>43702.367361111108</v>
      </c>
      <c r="B623" s="26">
        <v>591666</v>
      </c>
      <c r="C623" s="72">
        <v>59</v>
      </c>
      <c r="D623" s="86" t="s">
        <v>664</v>
      </c>
      <c r="E623" s="32">
        <f t="shared" si="19"/>
        <v>0</v>
      </c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  <c r="FJ623" s="25"/>
      <c r="FK623" s="25"/>
      <c r="FL623" s="25"/>
      <c r="FM623" s="25"/>
      <c r="FN623" s="25"/>
      <c r="FO623" s="25"/>
      <c r="FP623" s="25"/>
      <c r="FQ623" s="25"/>
      <c r="FR623" s="25"/>
      <c r="FS623" s="25"/>
      <c r="FT623" s="25"/>
      <c r="FU623" s="25"/>
      <c r="FV623" s="28"/>
      <c r="FW623" s="28"/>
      <c r="FX623" s="28"/>
      <c r="FY623" s="26"/>
      <c r="FZ623" s="26"/>
      <c r="GA623" s="26"/>
      <c r="GB623" s="26"/>
      <c r="GC623" s="26"/>
      <c r="GD623" s="26"/>
      <c r="GE623" s="26"/>
      <c r="GF623" s="26"/>
      <c r="GG623" s="26"/>
      <c r="GH623" s="26"/>
      <c r="GI623" s="26"/>
      <c r="GJ623" s="26"/>
      <c r="GK623" s="26"/>
      <c r="GL623" s="65"/>
      <c r="GM623" s="26"/>
      <c r="GN623" s="26"/>
      <c r="GO623" s="26"/>
      <c r="GP623" s="26"/>
      <c r="GQ623" s="26"/>
      <c r="GR623" s="26"/>
      <c r="GS623" s="64">
        <v>59</v>
      </c>
      <c r="GT623" s="26"/>
      <c r="GU623" s="26"/>
      <c r="GV623" s="26"/>
      <c r="GW623" s="26"/>
      <c r="GX623" s="64"/>
      <c r="GY623" s="26"/>
      <c r="GZ623" s="26"/>
      <c r="HA623" s="26"/>
      <c r="HB623" s="26"/>
      <c r="HC623" s="65"/>
      <c r="HD623" s="26"/>
      <c r="HE623" s="26"/>
      <c r="HF623" s="26"/>
      <c r="HG623" s="26"/>
      <c r="HH623" s="65"/>
      <c r="HI623" s="26"/>
      <c r="HJ623" s="26"/>
      <c r="HK623" s="25"/>
      <c r="HL623" s="25"/>
    </row>
    <row r="624" spans="1:220" ht="15.75" customHeight="1" x14ac:dyDescent="0.2">
      <c r="A624" s="74">
        <v>43702.365358796298</v>
      </c>
      <c r="B624" s="32">
        <v>591665</v>
      </c>
      <c r="C624" s="72">
        <v>63</v>
      </c>
      <c r="D624" s="86" t="s">
        <v>665</v>
      </c>
      <c r="E624" s="32">
        <f t="shared" si="19"/>
        <v>0</v>
      </c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  <c r="FJ624" s="25"/>
      <c r="FK624" s="25"/>
      <c r="FL624" s="25"/>
      <c r="FM624" s="25"/>
      <c r="FN624" s="25"/>
      <c r="FO624" s="25"/>
      <c r="FP624" s="25"/>
      <c r="FQ624" s="25"/>
      <c r="FR624" s="25"/>
      <c r="FS624" s="25"/>
      <c r="FT624" s="25"/>
      <c r="FU624" s="25"/>
      <c r="FV624" s="28"/>
      <c r="FW624" s="28"/>
      <c r="FX624" s="28"/>
      <c r="FY624" s="26"/>
      <c r="FZ624" s="26"/>
      <c r="GA624" s="26"/>
      <c r="GB624" s="26"/>
      <c r="GC624" s="26"/>
      <c r="GD624" s="26"/>
      <c r="GE624" s="26"/>
      <c r="GF624" s="26"/>
      <c r="GG624" s="26"/>
      <c r="GH624" s="26"/>
      <c r="GI624" s="26"/>
      <c r="GJ624" s="26"/>
      <c r="GK624" s="26"/>
      <c r="GL624" s="65"/>
      <c r="GM624" s="26"/>
      <c r="GN624" s="26"/>
      <c r="GO624" s="26"/>
      <c r="GP624" s="26"/>
      <c r="GQ624" s="26"/>
      <c r="GR624" s="26"/>
      <c r="GS624" s="64">
        <v>63</v>
      </c>
      <c r="GT624" s="26"/>
      <c r="GU624" s="26"/>
      <c r="GV624" s="26"/>
      <c r="GW624" s="26"/>
      <c r="GX624" s="64"/>
      <c r="GY624" s="26"/>
      <c r="GZ624" s="26"/>
      <c r="HA624" s="26"/>
      <c r="HB624" s="26"/>
      <c r="HC624" s="65"/>
      <c r="HD624" s="26"/>
      <c r="HE624" s="26"/>
      <c r="HF624" s="26"/>
      <c r="HG624" s="26"/>
      <c r="HH624" s="65"/>
      <c r="HI624" s="26"/>
      <c r="HJ624" s="26"/>
      <c r="HK624" s="25"/>
      <c r="HL624" s="25"/>
    </row>
    <row r="625" spans="1:220" ht="15.75" customHeight="1" x14ac:dyDescent="0.2">
      <c r="A625" s="75">
        <v>43702.287499999999</v>
      </c>
      <c r="B625" s="26">
        <v>591659</v>
      </c>
      <c r="C625" s="72">
        <v>57</v>
      </c>
      <c r="D625" s="86" t="s">
        <v>666</v>
      </c>
      <c r="E625" s="32">
        <f t="shared" si="19"/>
        <v>0</v>
      </c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  <c r="FJ625" s="25"/>
      <c r="FK625" s="25"/>
      <c r="FL625" s="25"/>
      <c r="FM625" s="25"/>
      <c r="FN625" s="25"/>
      <c r="FO625" s="25"/>
      <c r="FP625" s="25"/>
      <c r="FQ625" s="25"/>
      <c r="FR625" s="25"/>
      <c r="FS625" s="25"/>
      <c r="FT625" s="25"/>
      <c r="FU625" s="25"/>
      <c r="FV625" s="28"/>
      <c r="FW625" s="28"/>
      <c r="FX625" s="28"/>
      <c r="FY625" s="26"/>
      <c r="FZ625" s="26"/>
      <c r="GA625" s="26"/>
      <c r="GB625" s="26"/>
      <c r="GC625" s="26"/>
      <c r="GD625" s="26"/>
      <c r="GE625" s="26"/>
      <c r="GF625" s="26"/>
      <c r="GG625" s="26"/>
      <c r="GH625" s="26"/>
      <c r="GI625" s="26"/>
      <c r="GJ625" s="26"/>
      <c r="GK625" s="26"/>
      <c r="GL625" s="65"/>
      <c r="GM625" s="26"/>
      <c r="GN625" s="26"/>
      <c r="GO625" s="26"/>
      <c r="GP625" s="26"/>
      <c r="GQ625" s="26"/>
      <c r="GR625" s="26"/>
      <c r="GS625" s="64">
        <v>57</v>
      </c>
      <c r="GT625" s="26"/>
      <c r="GU625" s="26"/>
      <c r="GV625" s="26"/>
      <c r="GW625" s="26"/>
      <c r="GX625" s="64"/>
      <c r="GY625" s="26"/>
      <c r="GZ625" s="26"/>
      <c r="HA625" s="26"/>
      <c r="HB625" s="26"/>
      <c r="HC625" s="65"/>
      <c r="HD625" s="26"/>
      <c r="HE625" s="26"/>
      <c r="HF625" s="26"/>
      <c r="HG625" s="26"/>
      <c r="HH625" s="65"/>
      <c r="HI625" s="26"/>
      <c r="HJ625" s="26"/>
      <c r="HK625" s="25"/>
      <c r="HL625" s="25"/>
    </row>
    <row r="626" spans="1:220" ht="15.75" customHeight="1" x14ac:dyDescent="0.2">
      <c r="A626" s="75">
        <v>43702.281944444447</v>
      </c>
      <c r="B626" s="26">
        <v>591656</v>
      </c>
      <c r="C626" s="72">
        <v>45</v>
      </c>
      <c r="D626" s="86" t="s">
        <v>667</v>
      </c>
      <c r="E626" s="32">
        <f t="shared" si="19"/>
        <v>0</v>
      </c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  <c r="FJ626" s="25"/>
      <c r="FK626" s="25"/>
      <c r="FL626" s="25"/>
      <c r="FM626" s="25"/>
      <c r="FN626" s="25"/>
      <c r="FO626" s="25"/>
      <c r="FP626" s="25"/>
      <c r="FQ626" s="25"/>
      <c r="FR626" s="25"/>
      <c r="FS626" s="25"/>
      <c r="FT626" s="25"/>
      <c r="FU626" s="25"/>
      <c r="FV626" s="28"/>
      <c r="FW626" s="28"/>
      <c r="FX626" s="28"/>
      <c r="FY626" s="26"/>
      <c r="FZ626" s="26"/>
      <c r="GA626" s="26"/>
      <c r="GB626" s="26"/>
      <c r="GC626" s="26"/>
      <c r="GD626" s="26"/>
      <c r="GE626" s="26"/>
      <c r="GF626" s="26"/>
      <c r="GG626" s="26"/>
      <c r="GH626" s="26"/>
      <c r="GI626" s="26"/>
      <c r="GJ626" s="26"/>
      <c r="GK626" s="26"/>
      <c r="GL626" s="65"/>
      <c r="GM626" s="26"/>
      <c r="GN626" s="26"/>
      <c r="GO626" s="26"/>
      <c r="GP626" s="26"/>
      <c r="GQ626" s="26"/>
      <c r="GR626" s="26"/>
      <c r="GS626" s="64">
        <v>45</v>
      </c>
      <c r="GT626" s="26"/>
      <c r="GU626" s="26"/>
      <c r="GV626" s="26"/>
      <c r="GW626" s="26"/>
      <c r="GX626" s="64"/>
      <c r="GY626" s="26"/>
      <c r="GZ626" s="26"/>
      <c r="HA626" s="26"/>
      <c r="HB626" s="26"/>
      <c r="HC626" s="65"/>
      <c r="HD626" s="26"/>
      <c r="HE626" s="26"/>
      <c r="HF626" s="26"/>
      <c r="HG626" s="26"/>
      <c r="HH626" s="65"/>
      <c r="HI626" s="26"/>
      <c r="HJ626" s="26"/>
      <c r="HK626" s="25"/>
      <c r="HL626" s="25"/>
    </row>
    <row r="627" spans="1:220" ht="15.75" customHeight="1" x14ac:dyDescent="0.2">
      <c r="A627" s="75">
        <v>43702.281944444447</v>
      </c>
      <c r="B627" s="26">
        <v>591656</v>
      </c>
      <c r="C627" s="72">
        <v>52</v>
      </c>
      <c r="D627" s="86" t="s">
        <v>668</v>
      </c>
      <c r="E627" s="32">
        <f t="shared" si="19"/>
        <v>0</v>
      </c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  <c r="FJ627" s="25"/>
      <c r="FK627" s="25"/>
      <c r="FL627" s="25"/>
      <c r="FM627" s="25"/>
      <c r="FN627" s="25"/>
      <c r="FO627" s="25"/>
      <c r="FP627" s="25"/>
      <c r="FQ627" s="25"/>
      <c r="FR627" s="25"/>
      <c r="FS627" s="25"/>
      <c r="FT627" s="25"/>
      <c r="FU627" s="25"/>
      <c r="FV627" s="28"/>
      <c r="FW627" s="28"/>
      <c r="FX627" s="28"/>
      <c r="FY627" s="26"/>
      <c r="FZ627" s="26"/>
      <c r="GA627" s="26"/>
      <c r="GB627" s="26"/>
      <c r="GC627" s="26"/>
      <c r="GD627" s="26"/>
      <c r="GE627" s="26"/>
      <c r="GF627" s="26"/>
      <c r="GG627" s="26"/>
      <c r="GH627" s="26"/>
      <c r="GI627" s="26"/>
      <c r="GJ627" s="26"/>
      <c r="GK627" s="26"/>
      <c r="GL627" s="65"/>
      <c r="GM627" s="26"/>
      <c r="GN627" s="26"/>
      <c r="GO627" s="26"/>
      <c r="GP627" s="26"/>
      <c r="GQ627" s="26"/>
      <c r="GR627" s="26"/>
      <c r="GS627" s="64">
        <v>52</v>
      </c>
      <c r="GT627" s="26"/>
      <c r="GU627" s="26"/>
      <c r="GV627" s="26"/>
      <c r="GW627" s="26"/>
      <c r="GX627" s="64"/>
      <c r="GY627" s="26"/>
      <c r="GZ627" s="26"/>
      <c r="HA627" s="26"/>
      <c r="HB627" s="26"/>
      <c r="HC627" s="65"/>
      <c r="HD627" s="26"/>
      <c r="HE627" s="26"/>
      <c r="HF627" s="26"/>
      <c r="HG627" s="26"/>
      <c r="HH627" s="65"/>
      <c r="HI627" s="26"/>
      <c r="HJ627" s="26"/>
      <c r="HK627" s="25"/>
      <c r="HL627" s="25"/>
    </row>
    <row r="628" spans="1:220" ht="15.75" customHeight="1" x14ac:dyDescent="0.2">
      <c r="A628" s="75">
        <v>43702.259722222225</v>
      </c>
      <c r="B628" s="26">
        <v>591653</v>
      </c>
      <c r="C628" s="72">
        <v>50</v>
      </c>
      <c r="D628" s="86" t="s">
        <v>669</v>
      </c>
      <c r="E628" s="32">
        <f t="shared" si="19"/>
        <v>0</v>
      </c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  <c r="FJ628" s="25"/>
      <c r="FK628" s="25"/>
      <c r="FL628" s="25"/>
      <c r="FM628" s="25"/>
      <c r="FN628" s="25"/>
      <c r="FO628" s="25"/>
      <c r="FP628" s="25"/>
      <c r="FQ628" s="25"/>
      <c r="FR628" s="25"/>
      <c r="FS628" s="25"/>
      <c r="FT628" s="25"/>
      <c r="FU628" s="25"/>
      <c r="FV628" s="28"/>
      <c r="FW628" s="28"/>
      <c r="FX628" s="28"/>
      <c r="FY628" s="26"/>
      <c r="FZ628" s="26"/>
      <c r="GA628" s="26"/>
      <c r="GB628" s="26"/>
      <c r="GC628" s="26"/>
      <c r="GD628" s="26"/>
      <c r="GE628" s="26"/>
      <c r="GF628" s="26"/>
      <c r="GG628" s="26"/>
      <c r="GH628" s="26"/>
      <c r="GI628" s="26"/>
      <c r="GJ628" s="26"/>
      <c r="GK628" s="26"/>
      <c r="GL628" s="65"/>
      <c r="GM628" s="26"/>
      <c r="GN628" s="26"/>
      <c r="GO628" s="26"/>
      <c r="GP628" s="26"/>
      <c r="GQ628" s="26"/>
      <c r="GR628" s="26"/>
      <c r="GS628" s="64">
        <v>50</v>
      </c>
      <c r="GT628" s="26"/>
      <c r="GU628" s="26"/>
      <c r="GV628" s="26"/>
      <c r="GW628" s="26"/>
      <c r="GX628" s="64"/>
      <c r="GY628" s="26"/>
      <c r="GZ628" s="26"/>
      <c r="HA628" s="26"/>
      <c r="HB628" s="26"/>
      <c r="HC628" s="65"/>
      <c r="HD628" s="26"/>
      <c r="HE628" s="26"/>
      <c r="HF628" s="26"/>
      <c r="HG628" s="26"/>
      <c r="HH628" s="65"/>
      <c r="HI628" s="26"/>
      <c r="HJ628" s="26"/>
      <c r="HK628" s="25"/>
      <c r="HL628" s="25"/>
    </row>
    <row r="629" spans="1:220" ht="15.75" customHeight="1" x14ac:dyDescent="0.2">
      <c r="A629" s="75">
        <v>43702.177083333336</v>
      </c>
      <c r="B629" s="26">
        <v>591639</v>
      </c>
      <c r="C629" s="72">
        <v>65</v>
      </c>
      <c r="D629" s="86" t="s">
        <v>670</v>
      </c>
      <c r="E629" s="32">
        <f t="shared" si="19"/>
        <v>0</v>
      </c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  <c r="FJ629" s="25"/>
      <c r="FK629" s="25"/>
      <c r="FL629" s="25"/>
      <c r="FM629" s="25"/>
      <c r="FN629" s="25"/>
      <c r="FO629" s="25"/>
      <c r="FP629" s="25"/>
      <c r="FQ629" s="25"/>
      <c r="FR629" s="25"/>
      <c r="FS629" s="25"/>
      <c r="FT629" s="25"/>
      <c r="FU629" s="25"/>
      <c r="FV629" s="28"/>
      <c r="FW629" s="28"/>
      <c r="FX629" s="28"/>
      <c r="FY629" s="26"/>
      <c r="FZ629" s="26"/>
      <c r="GA629" s="26"/>
      <c r="GB629" s="26"/>
      <c r="GC629" s="26"/>
      <c r="GD629" s="26"/>
      <c r="GE629" s="26"/>
      <c r="GF629" s="26"/>
      <c r="GG629" s="26"/>
      <c r="GH629" s="26"/>
      <c r="GI629" s="26"/>
      <c r="GJ629" s="26"/>
      <c r="GK629" s="26"/>
      <c r="GL629" s="65"/>
      <c r="GM629" s="26"/>
      <c r="GN629" s="26"/>
      <c r="GO629" s="26"/>
      <c r="GP629" s="26"/>
      <c r="GQ629" s="26"/>
      <c r="GR629" s="26"/>
      <c r="GS629" s="64">
        <v>65</v>
      </c>
      <c r="GT629" s="26"/>
      <c r="GU629" s="26"/>
      <c r="GV629" s="26"/>
      <c r="GW629" s="26"/>
      <c r="GX629" s="64"/>
      <c r="GY629" s="26"/>
      <c r="GZ629" s="26"/>
      <c r="HA629" s="26"/>
      <c r="HB629" s="26"/>
      <c r="HC629" s="65"/>
      <c r="HD629" s="26"/>
      <c r="HE629" s="26"/>
      <c r="HF629" s="26"/>
      <c r="HG629" s="26"/>
      <c r="HH629" s="65"/>
      <c r="HI629" s="26"/>
      <c r="HJ629" s="26"/>
      <c r="HK629" s="25"/>
      <c r="HL629" s="25"/>
    </row>
    <row r="630" spans="1:220" ht="15.75" customHeight="1" x14ac:dyDescent="0.2">
      <c r="A630" s="75">
        <v>43702.146724537037</v>
      </c>
      <c r="B630" s="26">
        <v>591634</v>
      </c>
      <c r="C630" s="72">
        <v>70</v>
      </c>
      <c r="D630" s="86" t="s">
        <v>671</v>
      </c>
      <c r="E630" s="32">
        <f t="shared" si="19"/>
        <v>0</v>
      </c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  <c r="FJ630" s="25"/>
      <c r="FK630" s="25"/>
      <c r="FL630" s="25"/>
      <c r="FM630" s="25"/>
      <c r="FN630" s="25"/>
      <c r="FO630" s="25"/>
      <c r="FP630" s="25"/>
      <c r="FQ630" s="25"/>
      <c r="FR630" s="25"/>
      <c r="FS630" s="25"/>
      <c r="FT630" s="25"/>
      <c r="FU630" s="25"/>
      <c r="FV630" s="28"/>
      <c r="FW630" s="28"/>
      <c r="FX630" s="28"/>
      <c r="FY630" s="26"/>
      <c r="FZ630" s="26"/>
      <c r="GA630" s="26"/>
      <c r="GB630" s="26"/>
      <c r="GC630" s="26"/>
      <c r="GD630" s="26"/>
      <c r="GE630" s="26"/>
      <c r="GF630" s="26"/>
      <c r="GG630" s="26"/>
      <c r="GH630" s="26"/>
      <c r="GI630" s="26"/>
      <c r="GJ630" s="26"/>
      <c r="GK630" s="26"/>
      <c r="GL630" s="65"/>
      <c r="GM630" s="26"/>
      <c r="GN630" s="26"/>
      <c r="GO630" s="26"/>
      <c r="GP630" s="26"/>
      <c r="GQ630" s="26"/>
      <c r="GR630" s="26"/>
      <c r="GS630" s="64">
        <v>70</v>
      </c>
      <c r="GT630" s="26"/>
      <c r="GU630" s="26"/>
      <c r="GV630" s="26"/>
      <c r="GW630" s="26"/>
      <c r="GX630" s="64"/>
      <c r="GY630" s="26"/>
      <c r="GZ630" s="26"/>
      <c r="HA630" s="26"/>
      <c r="HB630" s="26"/>
      <c r="HC630" s="65"/>
      <c r="HD630" s="26"/>
      <c r="HE630" s="26"/>
      <c r="HF630" s="26"/>
      <c r="HG630" s="26"/>
      <c r="HH630" s="65"/>
      <c r="HI630" s="26"/>
      <c r="HJ630" s="26"/>
      <c r="HK630" s="25"/>
      <c r="HL630" s="25"/>
    </row>
    <row r="631" spans="1:220" ht="15.75" customHeight="1" x14ac:dyDescent="0.2">
      <c r="A631" s="75">
        <v>43702.113194444442</v>
      </c>
      <c r="B631" s="26">
        <v>591629</v>
      </c>
      <c r="C631" s="72">
        <v>50</v>
      </c>
      <c r="D631" s="86" t="s">
        <v>672</v>
      </c>
      <c r="E631" s="32">
        <f t="shared" si="19"/>
        <v>0</v>
      </c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  <c r="FJ631" s="25"/>
      <c r="FK631" s="25"/>
      <c r="FL631" s="25"/>
      <c r="FM631" s="25"/>
      <c r="FN631" s="25"/>
      <c r="FO631" s="25"/>
      <c r="FP631" s="25"/>
      <c r="FQ631" s="25"/>
      <c r="FR631" s="25"/>
      <c r="FS631" s="25"/>
      <c r="FT631" s="25"/>
      <c r="FU631" s="25"/>
      <c r="FV631" s="28"/>
      <c r="FW631" s="28"/>
      <c r="FX631" s="28"/>
      <c r="FY631" s="26"/>
      <c r="FZ631" s="26"/>
      <c r="GA631" s="26"/>
      <c r="GB631" s="26"/>
      <c r="GC631" s="26"/>
      <c r="GD631" s="26"/>
      <c r="GE631" s="26"/>
      <c r="GF631" s="26"/>
      <c r="GG631" s="26"/>
      <c r="GH631" s="26"/>
      <c r="GI631" s="26"/>
      <c r="GJ631" s="26"/>
      <c r="GK631" s="26"/>
      <c r="GL631" s="65"/>
      <c r="GM631" s="26"/>
      <c r="GN631" s="26"/>
      <c r="GO631" s="26"/>
      <c r="GP631" s="26"/>
      <c r="GQ631" s="26"/>
      <c r="GR631" s="26"/>
      <c r="GS631" s="64">
        <v>50</v>
      </c>
      <c r="GT631" s="26"/>
      <c r="GU631" s="26"/>
      <c r="GV631" s="26"/>
      <c r="GW631" s="26"/>
      <c r="GX631" s="64"/>
      <c r="GY631" s="26"/>
      <c r="GZ631" s="26"/>
      <c r="HA631" s="26"/>
      <c r="HB631" s="26"/>
      <c r="HC631" s="65"/>
      <c r="HD631" s="26"/>
      <c r="HE631" s="26"/>
      <c r="HF631" s="26"/>
      <c r="HG631" s="26"/>
      <c r="HH631" s="65"/>
      <c r="HI631" s="26"/>
      <c r="HJ631" s="26"/>
      <c r="HK631" s="25"/>
      <c r="HL631" s="25"/>
    </row>
    <row r="632" spans="1:220" ht="15.75" customHeight="1" x14ac:dyDescent="0.2">
      <c r="A632" s="75">
        <v>43702.113194444442</v>
      </c>
      <c r="B632" s="26">
        <v>591629</v>
      </c>
      <c r="C632" s="72">
        <v>50</v>
      </c>
      <c r="D632" s="86" t="s">
        <v>673</v>
      </c>
      <c r="E632" s="32">
        <f t="shared" si="19"/>
        <v>0</v>
      </c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  <c r="FJ632" s="25"/>
      <c r="FK632" s="25"/>
      <c r="FL632" s="25"/>
      <c r="FM632" s="25"/>
      <c r="FN632" s="25"/>
      <c r="FO632" s="25"/>
      <c r="FP632" s="25"/>
      <c r="FQ632" s="25"/>
      <c r="FR632" s="25"/>
      <c r="FS632" s="25"/>
      <c r="FT632" s="25"/>
      <c r="FU632" s="25"/>
      <c r="FV632" s="28"/>
      <c r="FW632" s="28"/>
      <c r="FX632" s="28"/>
      <c r="FY632" s="26"/>
      <c r="FZ632" s="26"/>
      <c r="GA632" s="26"/>
      <c r="GB632" s="26"/>
      <c r="GC632" s="26"/>
      <c r="GD632" s="26"/>
      <c r="GE632" s="26"/>
      <c r="GF632" s="26"/>
      <c r="GG632" s="26"/>
      <c r="GH632" s="26"/>
      <c r="GI632" s="26"/>
      <c r="GJ632" s="26"/>
      <c r="GK632" s="26"/>
      <c r="GL632" s="65"/>
      <c r="GM632" s="26"/>
      <c r="GN632" s="26"/>
      <c r="GO632" s="26"/>
      <c r="GP632" s="26"/>
      <c r="GQ632" s="26"/>
      <c r="GR632" s="26"/>
      <c r="GS632" s="64">
        <v>50</v>
      </c>
      <c r="GT632" s="26"/>
      <c r="GU632" s="26"/>
      <c r="GV632" s="26"/>
      <c r="GW632" s="26"/>
      <c r="GX632" s="64"/>
      <c r="GY632" s="26"/>
      <c r="GZ632" s="26"/>
      <c r="HA632" s="26"/>
      <c r="HB632" s="26"/>
      <c r="HC632" s="65"/>
      <c r="HD632" s="26"/>
      <c r="HE632" s="26"/>
      <c r="HF632" s="26"/>
      <c r="HG632" s="26"/>
      <c r="HH632" s="65"/>
      <c r="HI632" s="26"/>
      <c r="HJ632" s="26"/>
      <c r="HK632" s="25"/>
      <c r="HL632" s="25"/>
    </row>
    <row r="633" spans="1:220" ht="15.75" customHeight="1" x14ac:dyDescent="0.2">
      <c r="A633" s="75">
        <v>43702.095833333333</v>
      </c>
      <c r="B633" s="26">
        <v>591628</v>
      </c>
      <c r="C633" s="72">
        <v>50</v>
      </c>
      <c r="D633" s="86" t="s">
        <v>674</v>
      </c>
      <c r="E633" s="32">
        <f t="shared" si="19"/>
        <v>0</v>
      </c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  <c r="FJ633" s="25"/>
      <c r="FK633" s="25"/>
      <c r="FL633" s="25"/>
      <c r="FM633" s="25"/>
      <c r="FN633" s="25"/>
      <c r="FO633" s="25"/>
      <c r="FP633" s="25"/>
      <c r="FQ633" s="25"/>
      <c r="FR633" s="25"/>
      <c r="FS633" s="25"/>
      <c r="FT633" s="25"/>
      <c r="FU633" s="25"/>
      <c r="FV633" s="28"/>
      <c r="FW633" s="28"/>
      <c r="FX633" s="28"/>
      <c r="FY633" s="26"/>
      <c r="FZ633" s="26"/>
      <c r="GA633" s="26"/>
      <c r="GB633" s="26"/>
      <c r="GC633" s="26"/>
      <c r="GD633" s="26"/>
      <c r="GE633" s="26"/>
      <c r="GF633" s="26"/>
      <c r="GG633" s="26"/>
      <c r="GH633" s="26"/>
      <c r="GI633" s="26"/>
      <c r="GJ633" s="26"/>
      <c r="GK633" s="26"/>
      <c r="GL633" s="65"/>
      <c r="GM633" s="26"/>
      <c r="GN633" s="26"/>
      <c r="GO633" s="26"/>
      <c r="GP633" s="26"/>
      <c r="GQ633" s="26"/>
      <c r="GR633" s="26"/>
      <c r="GS633" s="64">
        <v>50</v>
      </c>
      <c r="GT633" s="26"/>
      <c r="GU633" s="26"/>
      <c r="GV633" s="26"/>
      <c r="GW633" s="26"/>
      <c r="GX633" s="64"/>
      <c r="GY633" s="26"/>
      <c r="GZ633" s="26"/>
      <c r="HA633" s="26"/>
      <c r="HB633" s="26"/>
      <c r="HC633" s="65"/>
      <c r="HD633" s="26"/>
      <c r="HE633" s="26"/>
      <c r="HF633" s="26"/>
      <c r="HG633" s="26"/>
      <c r="HH633" s="65"/>
      <c r="HI633" s="26"/>
      <c r="HJ633" s="26"/>
      <c r="HK633" s="25"/>
      <c r="HL633" s="25"/>
    </row>
    <row r="634" spans="1:220" ht="15.75" customHeight="1" x14ac:dyDescent="0.2">
      <c r="A634" s="75">
        <v>43700.588888888888</v>
      </c>
      <c r="B634" s="26">
        <v>591387</v>
      </c>
      <c r="C634" s="72">
        <v>50</v>
      </c>
      <c r="D634" s="86" t="s">
        <v>675</v>
      </c>
      <c r="E634" s="32">
        <f t="shared" si="19"/>
        <v>0</v>
      </c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  <c r="FJ634" s="25"/>
      <c r="FK634" s="25"/>
      <c r="FL634" s="25"/>
      <c r="FM634" s="25"/>
      <c r="FN634" s="25"/>
      <c r="FO634" s="25"/>
      <c r="FP634" s="25"/>
      <c r="FQ634" s="25"/>
      <c r="FR634" s="25"/>
      <c r="FS634" s="25"/>
      <c r="FT634" s="25"/>
      <c r="FU634" s="25"/>
      <c r="FV634" s="28"/>
      <c r="FW634" s="28"/>
      <c r="FX634" s="28"/>
      <c r="FY634" s="26"/>
      <c r="FZ634" s="26"/>
      <c r="GA634" s="26"/>
      <c r="GB634" s="26"/>
      <c r="GC634" s="26"/>
      <c r="GD634" s="26"/>
      <c r="GE634" s="26"/>
      <c r="GF634" s="26"/>
      <c r="GG634" s="26"/>
      <c r="GH634" s="26"/>
      <c r="GI634" s="26"/>
      <c r="GJ634" s="26"/>
      <c r="GK634" s="26"/>
      <c r="GL634" s="65"/>
      <c r="GM634" s="26"/>
      <c r="GN634" s="26"/>
      <c r="GO634" s="26"/>
      <c r="GP634" s="26"/>
      <c r="GQ634" s="26"/>
      <c r="GR634" s="26"/>
      <c r="GS634" s="64"/>
      <c r="GT634" s="26"/>
      <c r="GU634" s="26">
        <v>50</v>
      </c>
      <c r="GV634" s="26"/>
      <c r="GW634" s="26"/>
      <c r="GX634" s="64"/>
      <c r="GY634" s="26"/>
      <c r="GZ634" s="26"/>
      <c r="HA634" s="26"/>
      <c r="HB634" s="26"/>
      <c r="HC634" s="65"/>
      <c r="HD634" s="26"/>
      <c r="HE634" s="26"/>
      <c r="HF634" s="26"/>
      <c r="HG634" s="26"/>
      <c r="HH634" s="65"/>
      <c r="HI634" s="26"/>
      <c r="HJ634" s="26"/>
      <c r="HK634" s="25"/>
      <c r="HL634" s="25"/>
    </row>
    <row r="635" spans="1:220" ht="15.75" customHeight="1" x14ac:dyDescent="0.2">
      <c r="A635" s="76">
        <v>43700.556990740741</v>
      </c>
      <c r="B635" s="32">
        <v>591383</v>
      </c>
      <c r="C635" s="73">
        <v>50</v>
      </c>
      <c r="D635" s="86" t="s">
        <v>676</v>
      </c>
      <c r="E635" s="32">
        <f t="shared" si="19"/>
        <v>0</v>
      </c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  <c r="FJ635" s="25"/>
      <c r="FK635" s="25"/>
      <c r="FL635" s="25"/>
      <c r="FM635" s="25"/>
      <c r="FN635" s="25"/>
      <c r="FO635" s="25"/>
      <c r="FP635" s="25"/>
      <c r="FQ635" s="25"/>
      <c r="FR635" s="25"/>
      <c r="FS635" s="25"/>
      <c r="FT635" s="25"/>
      <c r="FU635" s="25"/>
      <c r="FV635" s="28"/>
      <c r="FW635" s="28"/>
      <c r="FX635" s="28"/>
      <c r="FY635" s="26"/>
      <c r="FZ635" s="26"/>
      <c r="GA635" s="26"/>
      <c r="GB635" s="26"/>
      <c r="GC635" s="26"/>
      <c r="GD635" s="26"/>
      <c r="GE635" s="26"/>
      <c r="GF635" s="26"/>
      <c r="GG635" s="26"/>
      <c r="GH635" s="26"/>
      <c r="GI635" s="26"/>
      <c r="GJ635" s="26"/>
      <c r="GK635" s="26"/>
      <c r="GL635" s="65"/>
      <c r="GM635" s="26"/>
      <c r="GN635" s="26"/>
      <c r="GO635" s="26"/>
      <c r="GP635" s="26"/>
      <c r="GQ635" s="26"/>
      <c r="GR635" s="26"/>
      <c r="GS635" s="64"/>
      <c r="GT635" s="26"/>
      <c r="GU635" s="26">
        <v>50</v>
      </c>
      <c r="GV635" s="26"/>
      <c r="GW635" s="26"/>
      <c r="GX635" s="64"/>
      <c r="GY635" s="26"/>
      <c r="GZ635" s="26"/>
      <c r="HA635" s="26"/>
      <c r="HB635" s="26"/>
      <c r="HC635" s="65"/>
      <c r="HD635" s="26"/>
      <c r="HE635" s="26"/>
      <c r="HF635" s="26"/>
      <c r="HG635" s="26"/>
      <c r="HH635" s="65"/>
      <c r="HI635" s="26"/>
      <c r="HJ635" s="26"/>
      <c r="HK635" s="25"/>
      <c r="HL635" s="25"/>
    </row>
    <row r="636" spans="1:220" ht="15.75" customHeight="1" x14ac:dyDescent="0.2">
      <c r="A636" s="75">
        <v>43700.548611111109</v>
      </c>
      <c r="B636" s="26">
        <v>591382</v>
      </c>
      <c r="C636" s="72">
        <v>30</v>
      </c>
      <c r="D636" s="86" t="s">
        <v>677</v>
      </c>
      <c r="E636" s="32">
        <f t="shared" si="19"/>
        <v>0</v>
      </c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  <c r="FJ636" s="25"/>
      <c r="FK636" s="25"/>
      <c r="FL636" s="25"/>
      <c r="FM636" s="25"/>
      <c r="FN636" s="25"/>
      <c r="FO636" s="25"/>
      <c r="FP636" s="25"/>
      <c r="FQ636" s="25"/>
      <c r="FR636" s="25"/>
      <c r="FS636" s="25"/>
      <c r="FT636" s="25"/>
      <c r="FU636" s="25"/>
      <c r="FV636" s="28"/>
      <c r="FW636" s="28"/>
      <c r="FX636" s="28"/>
      <c r="FY636" s="26"/>
      <c r="FZ636" s="26"/>
      <c r="GA636" s="26"/>
      <c r="GB636" s="26"/>
      <c r="GC636" s="26"/>
      <c r="GD636" s="26"/>
      <c r="GE636" s="26"/>
      <c r="GF636" s="26"/>
      <c r="GG636" s="26"/>
      <c r="GH636" s="26"/>
      <c r="GI636" s="26"/>
      <c r="GJ636" s="26"/>
      <c r="GK636" s="26"/>
      <c r="GL636" s="65"/>
      <c r="GM636" s="26"/>
      <c r="GN636" s="26"/>
      <c r="GO636" s="26"/>
      <c r="GP636" s="26"/>
      <c r="GQ636" s="26"/>
      <c r="GR636" s="26"/>
      <c r="GS636" s="64"/>
      <c r="GT636" s="26"/>
      <c r="GU636" s="26">
        <v>30</v>
      </c>
      <c r="GV636" s="26"/>
      <c r="GW636" s="26"/>
      <c r="GX636" s="64"/>
      <c r="GY636" s="26"/>
      <c r="GZ636" s="26"/>
      <c r="HA636" s="26"/>
      <c r="HB636" s="26"/>
      <c r="HC636" s="65"/>
      <c r="HD636" s="26"/>
      <c r="HE636" s="26"/>
      <c r="HF636" s="26"/>
      <c r="HG636" s="26"/>
      <c r="HH636" s="65"/>
      <c r="HI636" s="26"/>
      <c r="HJ636" s="26"/>
      <c r="HK636" s="25"/>
      <c r="HL636" s="25"/>
    </row>
    <row r="637" spans="1:220" ht="15.75" customHeight="1" x14ac:dyDescent="0.2">
      <c r="A637" s="57">
        <v>43700.495810185188</v>
      </c>
      <c r="B637" s="26">
        <v>591374</v>
      </c>
      <c r="C637" s="72">
        <v>50</v>
      </c>
      <c r="D637" s="86" t="s">
        <v>678</v>
      </c>
      <c r="E637" s="32">
        <f t="shared" ref="E637:E700" si="20">C637-SUM(AN637:HK637)</f>
        <v>0</v>
      </c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  <c r="FJ637" s="25"/>
      <c r="FK637" s="25"/>
      <c r="FL637" s="25"/>
      <c r="FM637" s="25"/>
      <c r="FN637" s="25"/>
      <c r="FO637" s="25"/>
      <c r="FP637" s="25"/>
      <c r="FQ637" s="25"/>
      <c r="FR637" s="25"/>
      <c r="FS637" s="25"/>
      <c r="FT637" s="25"/>
      <c r="FU637" s="25"/>
      <c r="FV637" s="28"/>
      <c r="FW637" s="28"/>
      <c r="FX637" s="28"/>
      <c r="FY637" s="26"/>
      <c r="FZ637" s="26"/>
      <c r="GA637" s="26"/>
      <c r="GB637" s="26"/>
      <c r="GC637" s="26"/>
      <c r="GD637" s="26"/>
      <c r="GE637" s="26"/>
      <c r="GF637" s="26"/>
      <c r="GG637" s="26"/>
      <c r="GH637" s="26"/>
      <c r="GI637" s="26"/>
      <c r="GJ637" s="26"/>
      <c r="GK637" s="26"/>
      <c r="GL637" s="65"/>
      <c r="GM637" s="26"/>
      <c r="GN637" s="26"/>
      <c r="GO637" s="26"/>
      <c r="GP637" s="26"/>
      <c r="GQ637" s="26"/>
      <c r="GR637" s="26"/>
      <c r="GS637" s="64"/>
      <c r="GT637" s="26"/>
      <c r="GU637" s="26">
        <v>50</v>
      </c>
      <c r="GV637" s="26"/>
      <c r="GW637" s="26"/>
      <c r="GX637" s="64"/>
      <c r="GY637" s="26"/>
      <c r="GZ637" s="26"/>
      <c r="HA637" s="26"/>
      <c r="HB637" s="26"/>
      <c r="HC637" s="65"/>
      <c r="HD637" s="26"/>
      <c r="HE637" s="26"/>
      <c r="HF637" s="26"/>
      <c r="HG637" s="26"/>
      <c r="HH637" s="65"/>
      <c r="HI637" s="26"/>
      <c r="HJ637" s="26"/>
      <c r="HK637" s="25"/>
      <c r="HL637" s="25"/>
    </row>
    <row r="638" spans="1:220" ht="15.75" customHeight="1" x14ac:dyDescent="0.2">
      <c r="A638" s="75">
        <v>43700.486111111109</v>
      </c>
      <c r="B638" s="26">
        <v>591373</v>
      </c>
      <c r="C638" s="72">
        <v>90</v>
      </c>
      <c r="D638" s="86" t="s">
        <v>679</v>
      </c>
      <c r="E638" s="32">
        <f t="shared" si="20"/>
        <v>0</v>
      </c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  <c r="FJ638" s="25"/>
      <c r="FK638" s="25"/>
      <c r="FL638" s="25"/>
      <c r="FM638" s="25"/>
      <c r="FN638" s="25"/>
      <c r="FO638" s="25"/>
      <c r="FP638" s="25"/>
      <c r="FQ638" s="25"/>
      <c r="FR638" s="25"/>
      <c r="FS638" s="25"/>
      <c r="FT638" s="25"/>
      <c r="FU638" s="25"/>
      <c r="FV638" s="28"/>
      <c r="FW638" s="28"/>
      <c r="FX638" s="28"/>
      <c r="FY638" s="26"/>
      <c r="FZ638" s="26"/>
      <c r="GA638" s="26"/>
      <c r="GB638" s="26"/>
      <c r="GC638" s="26"/>
      <c r="GD638" s="26"/>
      <c r="GE638" s="26"/>
      <c r="GF638" s="26"/>
      <c r="GG638" s="26"/>
      <c r="GH638" s="26"/>
      <c r="GI638" s="26"/>
      <c r="GJ638" s="26"/>
      <c r="GK638" s="26"/>
      <c r="GL638" s="65"/>
      <c r="GM638" s="26"/>
      <c r="GN638" s="26"/>
      <c r="GO638" s="26"/>
      <c r="GP638" s="26"/>
      <c r="GQ638" s="26"/>
      <c r="GR638" s="26"/>
      <c r="GS638" s="64"/>
      <c r="GT638" s="26"/>
      <c r="GU638" s="26">
        <v>90</v>
      </c>
      <c r="GV638" s="26"/>
      <c r="GW638" s="26"/>
      <c r="GX638" s="64"/>
      <c r="GY638" s="26"/>
      <c r="GZ638" s="26"/>
      <c r="HA638" s="26"/>
      <c r="HB638" s="26"/>
      <c r="HC638" s="65"/>
      <c r="HD638" s="26"/>
      <c r="HE638" s="26"/>
      <c r="HF638" s="26"/>
      <c r="HG638" s="26"/>
      <c r="HH638" s="65"/>
      <c r="HI638" s="26"/>
      <c r="HJ638" s="26"/>
      <c r="HK638" s="25"/>
      <c r="HL638" s="25"/>
    </row>
    <row r="639" spans="1:220" ht="15.75" customHeight="1" x14ac:dyDescent="0.2">
      <c r="A639" s="75">
        <v>43700.441666666666</v>
      </c>
      <c r="B639" s="26">
        <v>591360</v>
      </c>
      <c r="C639" s="72">
        <v>60</v>
      </c>
      <c r="D639" s="86" t="s">
        <v>680</v>
      </c>
      <c r="E639" s="32">
        <f t="shared" si="20"/>
        <v>0</v>
      </c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  <c r="FJ639" s="25"/>
      <c r="FK639" s="25"/>
      <c r="FL639" s="25"/>
      <c r="FM639" s="25"/>
      <c r="FN639" s="25"/>
      <c r="FO639" s="25"/>
      <c r="FP639" s="25"/>
      <c r="FQ639" s="25"/>
      <c r="FR639" s="25"/>
      <c r="FS639" s="25"/>
      <c r="FT639" s="25"/>
      <c r="FU639" s="25"/>
      <c r="FV639" s="28"/>
      <c r="FW639" s="28"/>
      <c r="FX639" s="28"/>
      <c r="FY639" s="26"/>
      <c r="FZ639" s="26"/>
      <c r="GA639" s="26"/>
      <c r="GB639" s="26"/>
      <c r="GC639" s="26"/>
      <c r="GD639" s="26"/>
      <c r="GE639" s="26"/>
      <c r="GF639" s="26"/>
      <c r="GG639" s="26"/>
      <c r="GH639" s="26"/>
      <c r="GI639" s="26"/>
      <c r="GJ639" s="26"/>
      <c r="GK639" s="26"/>
      <c r="GL639" s="65"/>
      <c r="GM639" s="26"/>
      <c r="GN639" s="26"/>
      <c r="GO639" s="26"/>
      <c r="GP639" s="26"/>
      <c r="GQ639" s="26"/>
      <c r="GR639" s="26"/>
      <c r="GS639" s="64"/>
      <c r="GT639" s="26"/>
      <c r="GU639" s="26">
        <v>60</v>
      </c>
      <c r="GV639" s="26"/>
      <c r="GW639" s="26"/>
      <c r="GX639" s="64"/>
      <c r="GY639" s="26"/>
      <c r="GZ639" s="26"/>
      <c r="HA639" s="26"/>
      <c r="HB639" s="26"/>
      <c r="HC639" s="65"/>
      <c r="HD639" s="26"/>
      <c r="HE639" s="26"/>
      <c r="HF639" s="26"/>
      <c r="HG639" s="26"/>
      <c r="HH639" s="65"/>
      <c r="HI639" s="26"/>
      <c r="HJ639" s="26"/>
      <c r="HK639" s="25"/>
      <c r="HL639" s="25"/>
    </row>
    <row r="640" spans="1:220" ht="15.75" customHeight="1" x14ac:dyDescent="0.2">
      <c r="A640" s="75">
        <v>43700.525995370372</v>
      </c>
      <c r="B640" s="26">
        <v>591379</v>
      </c>
      <c r="C640" s="72">
        <v>60</v>
      </c>
      <c r="D640" s="86" t="s">
        <v>681</v>
      </c>
      <c r="E640" s="32">
        <f t="shared" si="20"/>
        <v>0</v>
      </c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  <c r="FJ640" s="25"/>
      <c r="FK640" s="25"/>
      <c r="FL640" s="25"/>
      <c r="FM640" s="25"/>
      <c r="FN640" s="25"/>
      <c r="FO640" s="25"/>
      <c r="FP640" s="25"/>
      <c r="FQ640" s="25"/>
      <c r="FR640" s="25"/>
      <c r="FS640" s="25"/>
      <c r="FT640" s="25"/>
      <c r="FU640" s="25"/>
      <c r="FV640" s="28"/>
      <c r="FW640" s="28"/>
      <c r="FX640" s="28"/>
      <c r="FY640" s="26"/>
      <c r="FZ640" s="26"/>
      <c r="GA640" s="26"/>
      <c r="GB640" s="26"/>
      <c r="GC640" s="26"/>
      <c r="GD640" s="26"/>
      <c r="GE640" s="26"/>
      <c r="GF640" s="26"/>
      <c r="GG640" s="26"/>
      <c r="GH640" s="26"/>
      <c r="GI640" s="26"/>
      <c r="GJ640" s="26"/>
      <c r="GK640" s="26"/>
      <c r="GL640" s="65"/>
      <c r="GM640" s="26"/>
      <c r="GN640" s="26"/>
      <c r="GO640" s="26"/>
      <c r="GP640" s="26"/>
      <c r="GQ640" s="26"/>
      <c r="GR640" s="26"/>
      <c r="GS640" s="64"/>
      <c r="GT640" s="26"/>
      <c r="GU640" s="26">
        <v>60</v>
      </c>
      <c r="GV640" s="26"/>
      <c r="GW640" s="26"/>
      <c r="GX640" s="64"/>
      <c r="GY640" s="26"/>
      <c r="GZ640" s="26"/>
      <c r="HA640" s="26"/>
      <c r="HB640" s="26"/>
      <c r="HC640" s="65"/>
      <c r="HD640" s="26"/>
      <c r="HE640" s="26"/>
      <c r="HF640" s="26"/>
      <c r="HG640" s="26"/>
      <c r="HH640" s="65"/>
      <c r="HI640" s="26"/>
      <c r="HJ640" s="26"/>
      <c r="HK640" s="25"/>
      <c r="HL640" s="25"/>
    </row>
    <row r="641" spans="1:220" ht="15.75" customHeight="1" x14ac:dyDescent="0.2">
      <c r="A641" s="75">
        <v>43700.495810185188</v>
      </c>
      <c r="B641" s="26">
        <v>591374</v>
      </c>
      <c r="C641" s="72">
        <v>55</v>
      </c>
      <c r="D641" s="86" t="s">
        <v>682</v>
      </c>
      <c r="E641" s="32">
        <f t="shared" si="20"/>
        <v>0</v>
      </c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  <c r="FJ641" s="25"/>
      <c r="FK641" s="25"/>
      <c r="FL641" s="25"/>
      <c r="FM641" s="25"/>
      <c r="FN641" s="25"/>
      <c r="FO641" s="25"/>
      <c r="FP641" s="25"/>
      <c r="FQ641" s="25"/>
      <c r="FR641" s="25"/>
      <c r="FS641" s="25"/>
      <c r="FT641" s="25"/>
      <c r="FU641" s="25"/>
      <c r="FV641" s="28"/>
      <c r="FW641" s="28"/>
      <c r="FX641" s="28"/>
      <c r="FY641" s="26"/>
      <c r="FZ641" s="26"/>
      <c r="GA641" s="26"/>
      <c r="GB641" s="26"/>
      <c r="GC641" s="26"/>
      <c r="GD641" s="26"/>
      <c r="GE641" s="26"/>
      <c r="GF641" s="26"/>
      <c r="GG641" s="26"/>
      <c r="GH641" s="26"/>
      <c r="GI641" s="26"/>
      <c r="GJ641" s="26"/>
      <c r="GK641" s="26"/>
      <c r="GL641" s="65"/>
      <c r="GM641" s="26"/>
      <c r="GN641" s="26"/>
      <c r="GO641" s="26"/>
      <c r="GP641" s="26"/>
      <c r="GQ641" s="26"/>
      <c r="GR641" s="26"/>
      <c r="GS641" s="64"/>
      <c r="GT641" s="26"/>
      <c r="GU641" s="26">
        <v>55</v>
      </c>
      <c r="GV641" s="26"/>
      <c r="GW641" s="26"/>
      <c r="GX641" s="64"/>
      <c r="GY641" s="26"/>
      <c r="GZ641" s="26"/>
      <c r="HA641" s="26"/>
      <c r="HB641" s="26"/>
      <c r="HC641" s="65"/>
      <c r="HD641" s="26"/>
      <c r="HE641" s="26"/>
      <c r="HF641" s="26"/>
      <c r="HG641" s="26"/>
      <c r="HH641" s="65"/>
      <c r="HI641" s="26"/>
      <c r="HJ641" s="26"/>
      <c r="HK641" s="25"/>
      <c r="HL641" s="25"/>
    </row>
    <row r="642" spans="1:220" ht="15.75" customHeight="1" x14ac:dyDescent="0.2">
      <c r="A642" s="75">
        <v>43700.086805555555</v>
      </c>
      <c r="B642" s="26">
        <v>591312</v>
      </c>
      <c r="C642" s="72">
        <v>36</v>
      </c>
      <c r="D642" s="86" t="s">
        <v>683</v>
      </c>
      <c r="E642" s="32">
        <f t="shared" si="20"/>
        <v>0</v>
      </c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  <c r="FJ642" s="25"/>
      <c r="FK642" s="25"/>
      <c r="FL642" s="25"/>
      <c r="FM642" s="25"/>
      <c r="FN642" s="25"/>
      <c r="FO642" s="25"/>
      <c r="FP642" s="25"/>
      <c r="FQ642" s="25"/>
      <c r="FR642" s="25"/>
      <c r="FS642" s="25"/>
      <c r="FT642" s="25"/>
      <c r="FU642" s="25"/>
      <c r="FV642" s="28"/>
      <c r="FW642" s="28"/>
      <c r="FX642" s="28"/>
      <c r="FY642" s="26"/>
      <c r="FZ642" s="26"/>
      <c r="GA642" s="26"/>
      <c r="GB642" s="26"/>
      <c r="GC642" s="26"/>
      <c r="GD642" s="26"/>
      <c r="GE642" s="26"/>
      <c r="GF642" s="26"/>
      <c r="GG642" s="26"/>
      <c r="GH642" s="26"/>
      <c r="GI642" s="26"/>
      <c r="GJ642" s="26"/>
      <c r="GK642" s="26"/>
      <c r="GL642" s="65"/>
      <c r="GM642" s="26"/>
      <c r="GN642" s="26"/>
      <c r="GO642" s="26"/>
      <c r="GP642" s="26"/>
      <c r="GQ642" s="26"/>
      <c r="GR642" s="26"/>
      <c r="GS642" s="64"/>
      <c r="GT642" s="26"/>
      <c r="GU642" s="26">
        <v>36</v>
      </c>
      <c r="GV642" s="26"/>
      <c r="GW642" s="26"/>
      <c r="GX642" s="64"/>
      <c r="GY642" s="26"/>
      <c r="GZ642" s="26"/>
      <c r="HA642" s="26"/>
      <c r="HB642" s="26"/>
      <c r="HC642" s="65"/>
      <c r="HD642" s="26"/>
      <c r="HE642" s="26"/>
      <c r="HF642" s="26"/>
      <c r="HG642" s="26"/>
      <c r="HH642" s="65"/>
      <c r="HI642" s="26"/>
      <c r="HJ642" s="26"/>
      <c r="HK642" s="25"/>
      <c r="HL642" s="25"/>
    </row>
    <row r="643" spans="1:220" ht="15.75" customHeight="1" x14ac:dyDescent="0.2">
      <c r="A643" s="75">
        <v>43700.086805555555</v>
      </c>
      <c r="B643" s="26">
        <v>591312</v>
      </c>
      <c r="C643" s="72">
        <v>14</v>
      </c>
      <c r="D643" s="86" t="s">
        <v>684</v>
      </c>
      <c r="E643" s="32">
        <f t="shared" si="20"/>
        <v>0</v>
      </c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  <c r="FJ643" s="25"/>
      <c r="FK643" s="25"/>
      <c r="FL643" s="25"/>
      <c r="FM643" s="25"/>
      <c r="FN643" s="25"/>
      <c r="FO643" s="25"/>
      <c r="FP643" s="25"/>
      <c r="FQ643" s="25"/>
      <c r="FR643" s="25"/>
      <c r="FS643" s="25"/>
      <c r="FT643" s="25"/>
      <c r="FU643" s="25"/>
      <c r="FV643" s="28"/>
      <c r="FW643" s="28"/>
      <c r="FX643" s="28"/>
      <c r="FY643" s="26"/>
      <c r="FZ643" s="26"/>
      <c r="GA643" s="26"/>
      <c r="GB643" s="26"/>
      <c r="GC643" s="26"/>
      <c r="GD643" s="26"/>
      <c r="GE643" s="26"/>
      <c r="GF643" s="26"/>
      <c r="GG643" s="26"/>
      <c r="GH643" s="26"/>
      <c r="GI643" s="26"/>
      <c r="GJ643" s="26"/>
      <c r="GK643" s="26"/>
      <c r="GL643" s="65"/>
      <c r="GM643" s="26"/>
      <c r="GN643" s="26"/>
      <c r="GO643" s="26"/>
      <c r="GP643" s="26"/>
      <c r="GQ643" s="26"/>
      <c r="GR643" s="26"/>
      <c r="GS643" s="64"/>
      <c r="GT643" s="26"/>
      <c r="GU643" s="26">
        <v>14</v>
      </c>
      <c r="GV643" s="26"/>
      <c r="GW643" s="26"/>
      <c r="GX643" s="64"/>
      <c r="GY643" s="26"/>
      <c r="GZ643" s="26"/>
      <c r="HA643" s="26"/>
      <c r="HB643" s="26"/>
      <c r="HC643" s="65"/>
      <c r="HD643" s="26"/>
      <c r="HE643" s="26"/>
      <c r="HF643" s="26"/>
      <c r="HG643" s="26"/>
      <c r="HH643" s="65"/>
      <c r="HI643" s="26"/>
      <c r="HJ643" s="26"/>
      <c r="HK643" s="25"/>
      <c r="HL643" s="25"/>
    </row>
    <row r="644" spans="1:220" ht="15.75" customHeight="1" x14ac:dyDescent="0.2">
      <c r="A644" s="75">
        <v>43700.073611111111</v>
      </c>
      <c r="B644" s="26">
        <v>591311</v>
      </c>
      <c r="C644" s="72">
        <v>52</v>
      </c>
      <c r="D644" s="86" t="s">
        <v>685</v>
      </c>
      <c r="E644" s="32">
        <f t="shared" si="20"/>
        <v>0</v>
      </c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  <c r="FJ644" s="25"/>
      <c r="FK644" s="25"/>
      <c r="FL644" s="25"/>
      <c r="FM644" s="25"/>
      <c r="FN644" s="25"/>
      <c r="FO644" s="25"/>
      <c r="FP644" s="25"/>
      <c r="FQ644" s="25"/>
      <c r="FR644" s="25"/>
      <c r="FS644" s="25"/>
      <c r="FT644" s="25"/>
      <c r="FU644" s="25"/>
      <c r="FV644" s="28"/>
      <c r="FW644" s="28"/>
      <c r="FX644" s="28"/>
      <c r="FY644" s="26"/>
      <c r="FZ644" s="26"/>
      <c r="GA644" s="26"/>
      <c r="GB644" s="26"/>
      <c r="GC644" s="26"/>
      <c r="GD644" s="26"/>
      <c r="GE644" s="26"/>
      <c r="GF644" s="26"/>
      <c r="GG644" s="26"/>
      <c r="GH644" s="26"/>
      <c r="GI644" s="26"/>
      <c r="GJ644" s="26"/>
      <c r="GK644" s="26"/>
      <c r="GL644" s="65"/>
      <c r="GM644" s="26"/>
      <c r="GN644" s="26"/>
      <c r="GO644" s="26"/>
      <c r="GP644" s="26"/>
      <c r="GQ644" s="26"/>
      <c r="GR644" s="26"/>
      <c r="GS644" s="64"/>
      <c r="GT644" s="26"/>
      <c r="GU644" s="26">
        <v>52</v>
      </c>
      <c r="GV644" s="26"/>
      <c r="GW644" s="26"/>
      <c r="GX644" s="64"/>
      <c r="GY644" s="26"/>
      <c r="GZ644" s="26"/>
      <c r="HA644" s="26"/>
      <c r="HB644" s="26"/>
      <c r="HC644" s="65"/>
      <c r="HD644" s="26"/>
      <c r="HE644" s="26"/>
      <c r="HF644" s="26"/>
      <c r="HG644" s="26"/>
      <c r="HH644" s="65"/>
      <c r="HI644" s="26"/>
      <c r="HJ644" s="26"/>
      <c r="HK644" s="25"/>
      <c r="HL644" s="25"/>
    </row>
    <row r="645" spans="1:220" ht="15.75" customHeight="1" x14ac:dyDescent="0.2">
      <c r="A645" s="75">
        <v>43699.586111111108</v>
      </c>
      <c r="B645" s="26">
        <v>591239</v>
      </c>
      <c r="C645" s="72">
        <v>30</v>
      </c>
      <c r="D645" s="86" t="s">
        <v>686</v>
      </c>
      <c r="E645" s="32">
        <f t="shared" si="20"/>
        <v>0</v>
      </c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  <c r="FJ645" s="25"/>
      <c r="FK645" s="25"/>
      <c r="FL645" s="25"/>
      <c r="FM645" s="25"/>
      <c r="FN645" s="25"/>
      <c r="FO645" s="25"/>
      <c r="FP645" s="25"/>
      <c r="FQ645" s="25"/>
      <c r="FR645" s="25"/>
      <c r="FS645" s="25"/>
      <c r="FT645" s="25"/>
      <c r="FU645" s="25"/>
      <c r="FV645" s="28"/>
      <c r="FW645" s="28"/>
      <c r="FX645" s="28"/>
      <c r="FY645" s="26"/>
      <c r="FZ645" s="26"/>
      <c r="GA645" s="26"/>
      <c r="GB645" s="26"/>
      <c r="GC645" s="26"/>
      <c r="GD645" s="26"/>
      <c r="GE645" s="26"/>
      <c r="GF645" s="26"/>
      <c r="GG645" s="26"/>
      <c r="GH645" s="26"/>
      <c r="GI645" s="26"/>
      <c r="GJ645" s="26"/>
      <c r="GK645" s="26"/>
      <c r="GL645" s="65"/>
      <c r="GM645" s="26"/>
      <c r="GN645" s="26"/>
      <c r="GO645" s="26"/>
      <c r="GP645" s="26"/>
      <c r="GQ645" s="26"/>
      <c r="GR645" s="26"/>
      <c r="GS645" s="64"/>
      <c r="GT645" s="26"/>
      <c r="GU645" s="25"/>
      <c r="GV645" s="26">
        <v>30</v>
      </c>
      <c r="GW645" s="26"/>
      <c r="GX645" s="64"/>
      <c r="GY645" s="26"/>
      <c r="GZ645" s="26"/>
      <c r="HA645" s="26"/>
      <c r="HB645" s="26"/>
      <c r="HC645" s="65"/>
      <c r="HD645" s="26"/>
      <c r="HE645" s="26"/>
      <c r="HF645" s="26"/>
      <c r="HG645" s="26"/>
      <c r="HH645" s="65"/>
      <c r="HI645" s="26"/>
      <c r="HJ645" s="26"/>
      <c r="HK645" s="25"/>
      <c r="HL645" s="25"/>
    </row>
    <row r="646" spans="1:220" ht="15.75" customHeight="1" x14ac:dyDescent="0.2">
      <c r="A646" s="75">
        <v>43699.442361111112</v>
      </c>
      <c r="B646" s="26">
        <v>591221</v>
      </c>
      <c r="C646" s="72">
        <v>33</v>
      </c>
      <c r="D646" s="86" t="s">
        <v>687</v>
      </c>
      <c r="E646" s="32">
        <f t="shared" si="20"/>
        <v>0</v>
      </c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  <c r="FJ646" s="25"/>
      <c r="FK646" s="25"/>
      <c r="FL646" s="25"/>
      <c r="FM646" s="25"/>
      <c r="FN646" s="25"/>
      <c r="FO646" s="25"/>
      <c r="FP646" s="25"/>
      <c r="FQ646" s="25"/>
      <c r="FR646" s="25"/>
      <c r="FS646" s="25"/>
      <c r="FT646" s="25"/>
      <c r="FU646" s="25"/>
      <c r="FV646" s="28"/>
      <c r="FW646" s="28"/>
      <c r="FX646" s="28"/>
      <c r="FY646" s="26"/>
      <c r="FZ646" s="26"/>
      <c r="GA646" s="26"/>
      <c r="GB646" s="26"/>
      <c r="GC646" s="26"/>
      <c r="GD646" s="26"/>
      <c r="GE646" s="26"/>
      <c r="GF646" s="26"/>
      <c r="GG646" s="26"/>
      <c r="GH646" s="26"/>
      <c r="GI646" s="26"/>
      <c r="GJ646" s="26"/>
      <c r="GK646" s="26"/>
      <c r="GL646" s="65"/>
      <c r="GM646" s="26"/>
      <c r="GN646" s="26"/>
      <c r="GO646" s="26"/>
      <c r="GP646" s="26"/>
      <c r="GQ646" s="26"/>
      <c r="GR646" s="26"/>
      <c r="GS646" s="64"/>
      <c r="GT646" s="26"/>
      <c r="GU646" s="25"/>
      <c r="GV646" s="26">
        <v>33</v>
      </c>
      <c r="GW646" s="26"/>
      <c r="GX646" s="64"/>
      <c r="GY646" s="26"/>
      <c r="GZ646" s="26"/>
      <c r="HA646" s="26"/>
      <c r="HB646" s="26"/>
      <c r="HC646" s="65"/>
      <c r="HD646" s="26"/>
      <c r="HE646" s="26"/>
      <c r="HF646" s="26"/>
      <c r="HG646" s="26"/>
      <c r="HH646" s="65"/>
      <c r="HI646" s="26"/>
      <c r="HJ646" s="26"/>
      <c r="HK646" s="25"/>
      <c r="HL646" s="25"/>
    </row>
    <row r="647" spans="1:220" ht="15.75" customHeight="1" x14ac:dyDescent="0.2">
      <c r="A647" s="75">
        <v>43699.338194444441</v>
      </c>
      <c r="B647" s="26">
        <v>591205</v>
      </c>
      <c r="C647" s="72">
        <v>41</v>
      </c>
      <c r="D647" s="86" t="s">
        <v>688</v>
      </c>
      <c r="E647" s="32">
        <f t="shared" si="20"/>
        <v>0</v>
      </c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  <c r="FJ647" s="25"/>
      <c r="FK647" s="25"/>
      <c r="FL647" s="25"/>
      <c r="FM647" s="25"/>
      <c r="FN647" s="25"/>
      <c r="FO647" s="25"/>
      <c r="FP647" s="25"/>
      <c r="FQ647" s="25"/>
      <c r="FR647" s="25"/>
      <c r="FS647" s="25"/>
      <c r="FT647" s="25"/>
      <c r="FU647" s="25"/>
      <c r="FV647" s="28"/>
      <c r="FW647" s="28"/>
      <c r="FX647" s="28"/>
      <c r="FY647" s="26"/>
      <c r="FZ647" s="26"/>
      <c r="GA647" s="26"/>
      <c r="GB647" s="26"/>
      <c r="GC647" s="26"/>
      <c r="GD647" s="26"/>
      <c r="GE647" s="26"/>
      <c r="GF647" s="26"/>
      <c r="GG647" s="26"/>
      <c r="GH647" s="26"/>
      <c r="GI647" s="26"/>
      <c r="GJ647" s="26"/>
      <c r="GK647" s="26"/>
      <c r="GL647" s="65"/>
      <c r="GM647" s="26"/>
      <c r="GN647" s="26"/>
      <c r="GO647" s="26"/>
      <c r="GP647" s="26"/>
      <c r="GQ647" s="26"/>
      <c r="GR647" s="26"/>
      <c r="GS647" s="64"/>
      <c r="GT647" s="26"/>
      <c r="GU647" s="25"/>
      <c r="GV647" s="26">
        <v>41</v>
      </c>
      <c r="GW647" s="26"/>
      <c r="GX647" s="64"/>
      <c r="GY647" s="26"/>
      <c r="GZ647" s="26"/>
      <c r="HA647" s="26"/>
      <c r="HB647" s="26"/>
      <c r="HC647" s="65"/>
      <c r="HD647" s="26"/>
      <c r="HE647" s="26"/>
      <c r="HF647" s="26"/>
      <c r="HG647" s="26"/>
      <c r="HH647" s="65"/>
      <c r="HI647" s="26"/>
      <c r="HJ647" s="26"/>
      <c r="HK647" s="25"/>
      <c r="HL647" s="25"/>
    </row>
    <row r="648" spans="1:220" ht="15.75" customHeight="1" x14ac:dyDescent="0.2">
      <c r="A648" s="75">
        <v>43699.26666666667</v>
      </c>
      <c r="B648" s="26">
        <v>591197</v>
      </c>
      <c r="C648" s="72">
        <v>61</v>
      </c>
      <c r="D648" s="86" t="s">
        <v>689</v>
      </c>
      <c r="E648" s="32">
        <f t="shared" si="20"/>
        <v>0</v>
      </c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  <c r="FJ648" s="25"/>
      <c r="FK648" s="25"/>
      <c r="FL648" s="25"/>
      <c r="FM648" s="25"/>
      <c r="FN648" s="25"/>
      <c r="FO648" s="25"/>
      <c r="FP648" s="25"/>
      <c r="FQ648" s="25"/>
      <c r="FR648" s="25"/>
      <c r="FS648" s="25"/>
      <c r="FT648" s="25"/>
      <c r="FU648" s="25"/>
      <c r="FV648" s="28"/>
      <c r="FW648" s="28"/>
      <c r="FX648" s="28"/>
      <c r="FY648" s="26"/>
      <c r="FZ648" s="26"/>
      <c r="GA648" s="26"/>
      <c r="GB648" s="26"/>
      <c r="GC648" s="26"/>
      <c r="GD648" s="26"/>
      <c r="GE648" s="26"/>
      <c r="GF648" s="26"/>
      <c r="GG648" s="26"/>
      <c r="GH648" s="26"/>
      <c r="GI648" s="26"/>
      <c r="GJ648" s="26"/>
      <c r="GK648" s="26"/>
      <c r="GL648" s="65"/>
      <c r="GM648" s="26"/>
      <c r="GN648" s="26"/>
      <c r="GO648" s="26"/>
      <c r="GP648" s="26"/>
      <c r="GQ648" s="26"/>
      <c r="GR648" s="26"/>
      <c r="GS648" s="64"/>
      <c r="GT648" s="26"/>
      <c r="GU648" s="25"/>
      <c r="GV648" s="26">
        <v>61</v>
      </c>
      <c r="GW648" s="26"/>
      <c r="GX648" s="64"/>
      <c r="GY648" s="26"/>
      <c r="GZ648" s="26"/>
      <c r="HA648" s="26"/>
      <c r="HB648" s="26"/>
      <c r="HC648" s="65"/>
      <c r="HD648" s="26"/>
      <c r="HE648" s="26"/>
      <c r="HF648" s="26"/>
      <c r="HG648" s="26"/>
      <c r="HH648" s="65"/>
      <c r="HI648" s="26"/>
      <c r="HJ648" s="26"/>
      <c r="HK648" s="25"/>
      <c r="HL648" s="25"/>
    </row>
    <row r="649" spans="1:220" ht="15.75" customHeight="1" x14ac:dyDescent="0.2">
      <c r="A649" s="75">
        <v>43699.199999999997</v>
      </c>
      <c r="B649" s="26">
        <v>591188</v>
      </c>
      <c r="C649" s="72">
        <v>50</v>
      </c>
      <c r="D649" s="86" t="s">
        <v>690</v>
      </c>
      <c r="E649" s="32">
        <f t="shared" si="20"/>
        <v>0</v>
      </c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  <c r="FJ649" s="25"/>
      <c r="FK649" s="25"/>
      <c r="FL649" s="25"/>
      <c r="FM649" s="25"/>
      <c r="FN649" s="25"/>
      <c r="FO649" s="25"/>
      <c r="FP649" s="25"/>
      <c r="FQ649" s="25"/>
      <c r="FR649" s="25"/>
      <c r="FS649" s="25"/>
      <c r="FT649" s="25"/>
      <c r="FU649" s="25"/>
      <c r="FV649" s="28"/>
      <c r="FW649" s="28"/>
      <c r="FX649" s="28"/>
      <c r="FY649" s="26"/>
      <c r="FZ649" s="26"/>
      <c r="GA649" s="26"/>
      <c r="GB649" s="26"/>
      <c r="GC649" s="26"/>
      <c r="GD649" s="26"/>
      <c r="GE649" s="26"/>
      <c r="GF649" s="26"/>
      <c r="GG649" s="26"/>
      <c r="GH649" s="26"/>
      <c r="GI649" s="26"/>
      <c r="GJ649" s="26"/>
      <c r="GK649" s="26"/>
      <c r="GL649" s="65"/>
      <c r="GM649" s="26"/>
      <c r="GN649" s="26"/>
      <c r="GO649" s="26"/>
      <c r="GP649" s="26"/>
      <c r="GQ649" s="26"/>
      <c r="GR649" s="26"/>
      <c r="GS649" s="64"/>
      <c r="GT649" s="26"/>
      <c r="GU649" s="25"/>
      <c r="GV649" s="26">
        <v>50</v>
      </c>
      <c r="GW649" s="26"/>
      <c r="GX649" s="64"/>
      <c r="GY649" s="26"/>
      <c r="GZ649" s="26"/>
      <c r="HA649" s="26"/>
      <c r="HB649" s="26"/>
      <c r="HC649" s="65"/>
      <c r="HD649" s="26"/>
      <c r="HE649" s="26"/>
      <c r="HF649" s="26"/>
      <c r="HG649" s="26"/>
      <c r="HH649" s="65"/>
      <c r="HI649" s="26"/>
      <c r="HJ649" s="26"/>
      <c r="HK649" s="25"/>
      <c r="HL649" s="25"/>
    </row>
    <row r="650" spans="1:220" ht="15.75" customHeight="1" x14ac:dyDescent="0.2">
      <c r="A650" s="75">
        <v>43699.135416666664</v>
      </c>
      <c r="B650" s="26">
        <v>591178</v>
      </c>
      <c r="C650" s="72">
        <v>50</v>
      </c>
      <c r="D650" s="86" t="s">
        <v>691</v>
      </c>
      <c r="E650" s="32">
        <f t="shared" si="20"/>
        <v>0</v>
      </c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  <c r="FJ650" s="25"/>
      <c r="FK650" s="25"/>
      <c r="FL650" s="25"/>
      <c r="FM650" s="25"/>
      <c r="FN650" s="25"/>
      <c r="FO650" s="25"/>
      <c r="FP650" s="25"/>
      <c r="FQ650" s="25"/>
      <c r="FR650" s="25"/>
      <c r="FS650" s="25"/>
      <c r="FT650" s="25"/>
      <c r="FU650" s="25"/>
      <c r="FV650" s="28"/>
      <c r="FW650" s="28"/>
      <c r="FX650" s="28"/>
      <c r="FY650" s="26"/>
      <c r="FZ650" s="26"/>
      <c r="GA650" s="26"/>
      <c r="GB650" s="26"/>
      <c r="GC650" s="26"/>
      <c r="GD650" s="26"/>
      <c r="GE650" s="26"/>
      <c r="GF650" s="26"/>
      <c r="GG650" s="26"/>
      <c r="GH650" s="26"/>
      <c r="GI650" s="26"/>
      <c r="GJ650" s="26"/>
      <c r="GK650" s="26"/>
      <c r="GL650" s="65"/>
      <c r="GM650" s="26"/>
      <c r="GN650" s="26"/>
      <c r="GO650" s="26"/>
      <c r="GP650" s="26"/>
      <c r="GQ650" s="26"/>
      <c r="GR650" s="26"/>
      <c r="GS650" s="64"/>
      <c r="GT650" s="26"/>
      <c r="GU650" s="25"/>
      <c r="GV650" s="26">
        <v>50</v>
      </c>
      <c r="GW650" s="26"/>
      <c r="GX650" s="64"/>
      <c r="GY650" s="26"/>
      <c r="GZ650" s="26"/>
      <c r="HA650" s="26"/>
      <c r="HB650" s="26"/>
      <c r="HC650" s="65"/>
      <c r="HD650" s="26"/>
      <c r="HE650" s="26"/>
      <c r="HF650" s="26"/>
      <c r="HG650" s="26"/>
      <c r="HH650" s="65"/>
      <c r="HI650" s="26"/>
      <c r="HJ650" s="26"/>
      <c r="HK650" s="25"/>
      <c r="HL650" s="25"/>
    </row>
    <row r="651" spans="1:220" ht="15.75" customHeight="1" x14ac:dyDescent="0.2">
      <c r="A651" s="75">
        <v>43699.085648148146</v>
      </c>
      <c r="B651" s="26">
        <v>591171</v>
      </c>
      <c r="C651" s="72">
        <v>50</v>
      </c>
      <c r="D651" s="86" t="s">
        <v>692</v>
      </c>
      <c r="E651" s="32">
        <f t="shared" si="20"/>
        <v>0</v>
      </c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  <c r="FJ651" s="25"/>
      <c r="FK651" s="25"/>
      <c r="FL651" s="25"/>
      <c r="FM651" s="25"/>
      <c r="FN651" s="25"/>
      <c r="FO651" s="25"/>
      <c r="FP651" s="25"/>
      <c r="FQ651" s="25"/>
      <c r="FR651" s="25"/>
      <c r="FS651" s="25"/>
      <c r="FT651" s="25"/>
      <c r="FU651" s="25"/>
      <c r="FV651" s="28"/>
      <c r="FW651" s="28"/>
      <c r="FX651" s="28"/>
      <c r="FY651" s="26"/>
      <c r="FZ651" s="26"/>
      <c r="GA651" s="26"/>
      <c r="GB651" s="26"/>
      <c r="GC651" s="26"/>
      <c r="GD651" s="26"/>
      <c r="GE651" s="26"/>
      <c r="GF651" s="26"/>
      <c r="GG651" s="26"/>
      <c r="GH651" s="26"/>
      <c r="GI651" s="26"/>
      <c r="GJ651" s="26"/>
      <c r="GK651" s="26"/>
      <c r="GL651" s="65"/>
      <c r="GM651" s="26"/>
      <c r="GN651" s="26"/>
      <c r="GO651" s="26"/>
      <c r="GP651" s="26"/>
      <c r="GQ651" s="26"/>
      <c r="GR651" s="26"/>
      <c r="GS651" s="64"/>
      <c r="GT651" s="26"/>
      <c r="GU651" s="26"/>
      <c r="GV651" s="26">
        <v>50</v>
      </c>
      <c r="GW651" s="26"/>
      <c r="GX651" s="64"/>
      <c r="GY651" s="26"/>
      <c r="GZ651" s="26"/>
      <c r="HA651" s="26"/>
      <c r="HB651" s="26"/>
      <c r="HC651" s="65"/>
      <c r="HD651" s="26"/>
      <c r="HE651" s="26"/>
      <c r="HF651" s="26"/>
      <c r="HG651" s="26"/>
      <c r="HH651" s="65"/>
      <c r="HI651" s="26"/>
      <c r="HJ651" s="26"/>
      <c r="HK651" s="25"/>
      <c r="HL651" s="25"/>
    </row>
    <row r="652" spans="1:220" ht="15.75" customHeight="1" x14ac:dyDescent="0.2">
      <c r="A652" s="75">
        <v>43699.061805555553</v>
      </c>
      <c r="B652" s="26">
        <v>591168</v>
      </c>
      <c r="C652" s="72">
        <v>60</v>
      </c>
      <c r="D652" s="86" t="s">
        <v>693</v>
      </c>
      <c r="E652" s="32">
        <f t="shared" si="20"/>
        <v>0</v>
      </c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  <c r="FJ652" s="25"/>
      <c r="FK652" s="25"/>
      <c r="FL652" s="25"/>
      <c r="FM652" s="25"/>
      <c r="FN652" s="25"/>
      <c r="FO652" s="25"/>
      <c r="FP652" s="25"/>
      <c r="FQ652" s="25"/>
      <c r="FR652" s="25"/>
      <c r="FS652" s="25"/>
      <c r="FT652" s="25"/>
      <c r="FU652" s="25"/>
      <c r="FV652" s="28"/>
      <c r="FW652" s="28"/>
      <c r="FX652" s="28"/>
      <c r="FY652" s="26"/>
      <c r="FZ652" s="26"/>
      <c r="GA652" s="26"/>
      <c r="GB652" s="26"/>
      <c r="GC652" s="26"/>
      <c r="GD652" s="26"/>
      <c r="GE652" s="26"/>
      <c r="GF652" s="26"/>
      <c r="GG652" s="26"/>
      <c r="GH652" s="26"/>
      <c r="GI652" s="26"/>
      <c r="GJ652" s="26"/>
      <c r="GK652" s="26"/>
      <c r="GL652" s="65"/>
      <c r="GM652" s="26"/>
      <c r="GN652" s="26"/>
      <c r="GO652" s="26"/>
      <c r="GP652" s="26"/>
      <c r="GQ652" s="26"/>
      <c r="GR652" s="26"/>
      <c r="GS652" s="64"/>
      <c r="GT652" s="26"/>
      <c r="GU652" s="26"/>
      <c r="GV652" s="26">
        <v>60</v>
      </c>
      <c r="GW652" s="26"/>
      <c r="GX652" s="64"/>
      <c r="GY652" s="26"/>
      <c r="GZ652" s="26"/>
      <c r="HA652" s="26"/>
      <c r="HB652" s="26"/>
      <c r="HC652" s="65"/>
      <c r="HD652" s="26"/>
      <c r="HE652" s="26"/>
      <c r="HF652" s="26"/>
      <c r="HG652" s="26"/>
      <c r="HH652" s="65"/>
      <c r="HI652" s="26"/>
      <c r="HJ652" s="26"/>
      <c r="HK652" s="25"/>
      <c r="HL652" s="25"/>
    </row>
    <row r="653" spans="1:220" ht="15.75" customHeight="1" x14ac:dyDescent="0.2">
      <c r="A653" s="75">
        <v>43698.241215277776</v>
      </c>
      <c r="B653" s="26">
        <v>591054</v>
      </c>
      <c r="C653" s="72">
        <v>20</v>
      </c>
      <c r="D653" s="86" t="s">
        <v>694</v>
      </c>
      <c r="E653" s="32">
        <f t="shared" si="20"/>
        <v>0</v>
      </c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  <c r="FJ653" s="25"/>
      <c r="FK653" s="25"/>
      <c r="FL653" s="25"/>
      <c r="FM653" s="25"/>
      <c r="FN653" s="25"/>
      <c r="FO653" s="25"/>
      <c r="FP653" s="25"/>
      <c r="FQ653" s="25"/>
      <c r="FR653" s="25"/>
      <c r="FS653" s="25"/>
      <c r="FT653" s="25"/>
      <c r="FU653" s="25"/>
      <c r="FV653" s="28"/>
      <c r="FW653" s="28"/>
      <c r="FX653" s="28"/>
      <c r="FY653" s="26"/>
      <c r="FZ653" s="26"/>
      <c r="GA653" s="26"/>
      <c r="GB653" s="26"/>
      <c r="GC653" s="26"/>
      <c r="GD653" s="26"/>
      <c r="GE653" s="26"/>
      <c r="GF653" s="26"/>
      <c r="GG653" s="26"/>
      <c r="GH653" s="26"/>
      <c r="GI653" s="26"/>
      <c r="GJ653" s="26"/>
      <c r="GK653" s="26"/>
      <c r="GL653" s="65"/>
      <c r="GM653" s="26"/>
      <c r="GN653" s="26"/>
      <c r="GO653" s="26"/>
      <c r="GP653" s="26"/>
      <c r="GQ653" s="26"/>
      <c r="GR653" s="26"/>
      <c r="GS653" s="64"/>
      <c r="GT653" s="26"/>
      <c r="GU653" s="26"/>
      <c r="GV653" s="26"/>
      <c r="GW653" s="26">
        <v>20</v>
      </c>
      <c r="GX653" s="64"/>
      <c r="GY653" s="26"/>
      <c r="GZ653" s="26"/>
      <c r="HA653" s="26"/>
      <c r="HB653" s="26"/>
      <c r="HC653" s="65"/>
      <c r="HD653" s="26"/>
      <c r="HE653" s="26"/>
      <c r="HF653" s="26"/>
      <c r="HG653" s="26"/>
      <c r="HH653" s="65"/>
      <c r="HI653" s="26"/>
      <c r="HJ653" s="26"/>
      <c r="HK653" s="25"/>
      <c r="HL653" s="25"/>
    </row>
    <row r="654" spans="1:220" ht="15.75" customHeight="1" x14ac:dyDescent="0.2">
      <c r="A654" s="75">
        <v>43697.39166666667</v>
      </c>
      <c r="B654" s="26">
        <v>590935</v>
      </c>
      <c r="C654" s="72">
        <v>55</v>
      </c>
      <c r="D654" s="86" t="s">
        <v>695</v>
      </c>
      <c r="E654" s="32">
        <f t="shared" si="20"/>
        <v>0</v>
      </c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  <c r="FJ654" s="25"/>
      <c r="FK654" s="25"/>
      <c r="FL654" s="25"/>
      <c r="FM654" s="25"/>
      <c r="FN654" s="25"/>
      <c r="FO654" s="25"/>
      <c r="FP654" s="25"/>
      <c r="FQ654" s="25"/>
      <c r="FR654" s="25"/>
      <c r="FS654" s="25"/>
      <c r="FT654" s="25"/>
      <c r="FU654" s="25"/>
      <c r="FV654" s="28"/>
      <c r="FW654" s="28"/>
      <c r="FX654" s="28"/>
      <c r="FY654" s="26"/>
      <c r="FZ654" s="26"/>
      <c r="GA654" s="26"/>
      <c r="GB654" s="26"/>
      <c r="GC654" s="26"/>
      <c r="GD654" s="26"/>
      <c r="GE654" s="26"/>
      <c r="GF654" s="26"/>
      <c r="GG654" s="26"/>
      <c r="GH654" s="26"/>
      <c r="GI654" s="26"/>
      <c r="GJ654" s="26"/>
      <c r="GK654" s="26"/>
      <c r="GL654" s="65"/>
      <c r="GM654" s="26"/>
      <c r="GN654" s="26"/>
      <c r="GO654" s="26"/>
      <c r="GP654" s="26"/>
      <c r="GQ654" s="26"/>
      <c r="GR654" s="26"/>
      <c r="GS654" s="64"/>
      <c r="GT654" s="26"/>
      <c r="GU654" s="26"/>
      <c r="GV654" s="26"/>
      <c r="GW654" s="26"/>
      <c r="GX654" s="64">
        <v>55</v>
      </c>
      <c r="GY654" s="26"/>
      <c r="GZ654" s="26"/>
      <c r="HA654" s="26"/>
      <c r="HB654" s="26"/>
      <c r="HC654" s="65"/>
      <c r="HD654" s="26"/>
      <c r="HE654" s="26"/>
      <c r="HF654" s="26"/>
      <c r="HG654" s="26"/>
      <c r="HH654" s="65"/>
      <c r="HI654" s="26"/>
      <c r="HJ654" s="26"/>
      <c r="HK654" s="25"/>
      <c r="HL654" s="25"/>
    </row>
    <row r="655" spans="1:220" ht="15.75" customHeight="1" x14ac:dyDescent="0.2">
      <c r="A655" s="75">
        <v>43697.368750000001</v>
      </c>
      <c r="B655" s="26">
        <v>590932</v>
      </c>
      <c r="C655" s="72">
        <v>30</v>
      </c>
      <c r="D655" s="86" t="s">
        <v>696</v>
      </c>
      <c r="E655" s="32">
        <f t="shared" si="20"/>
        <v>0</v>
      </c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  <c r="FJ655" s="25"/>
      <c r="FK655" s="25"/>
      <c r="FL655" s="25"/>
      <c r="FM655" s="25"/>
      <c r="FN655" s="25"/>
      <c r="FO655" s="25"/>
      <c r="FP655" s="25"/>
      <c r="FQ655" s="25"/>
      <c r="FR655" s="25"/>
      <c r="FS655" s="25"/>
      <c r="FT655" s="25"/>
      <c r="FU655" s="25"/>
      <c r="FV655" s="28"/>
      <c r="FW655" s="28"/>
      <c r="FX655" s="28"/>
      <c r="FY655" s="26"/>
      <c r="FZ655" s="26"/>
      <c r="GA655" s="26"/>
      <c r="GB655" s="26"/>
      <c r="GC655" s="26"/>
      <c r="GD655" s="26"/>
      <c r="GE655" s="26"/>
      <c r="GF655" s="26"/>
      <c r="GG655" s="26"/>
      <c r="GH655" s="26"/>
      <c r="GI655" s="26"/>
      <c r="GJ655" s="26"/>
      <c r="GK655" s="26"/>
      <c r="GL655" s="65"/>
      <c r="GM655" s="26"/>
      <c r="GN655" s="26"/>
      <c r="GO655" s="26"/>
      <c r="GP655" s="26"/>
      <c r="GQ655" s="26"/>
      <c r="GR655" s="26"/>
      <c r="GS655" s="64"/>
      <c r="GT655" s="26"/>
      <c r="GU655" s="26"/>
      <c r="GV655" s="26"/>
      <c r="GW655" s="26"/>
      <c r="GX655" s="64">
        <v>30</v>
      </c>
      <c r="GY655" s="26"/>
      <c r="GZ655" s="26"/>
      <c r="HA655" s="26"/>
      <c r="HB655" s="26"/>
      <c r="HC655" s="65"/>
      <c r="HD655" s="26"/>
      <c r="HE655" s="26"/>
      <c r="HF655" s="26"/>
      <c r="HG655" s="26"/>
      <c r="HH655" s="65"/>
      <c r="HI655" s="26"/>
      <c r="HJ655" s="26"/>
      <c r="HK655" s="25"/>
      <c r="HL655" s="25"/>
    </row>
    <row r="656" spans="1:220" ht="15.75" customHeight="1" x14ac:dyDescent="0.2">
      <c r="A656" s="75">
        <v>43697.338194444441</v>
      </c>
      <c r="B656" s="26">
        <v>590925</v>
      </c>
      <c r="C656" s="72">
        <v>65</v>
      </c>
      <c r="D656" s="86" t="s">
        <v>697</v>
      </c>
      <c r="E656" s="32">
        <f t="shared" si="20"/>
        <v>0</v>
      </c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  <c r="FJ656" s="25"/>
      <c r="FK656" s="25"/>
      <c r="FL656" s="25"/>
      <c r="FM656" s="25"/>
      <c r="FN656" s="25"/>
      <c r="FO656" s="25"/>
      <c r="FP656" s="25"/>
      <c r="FQ656" s="25"/>
      <c r="FR656" s="25"/>
      <c r="FS656" s="25"/>
      <c r="FT656" s="25"/>
      <c r="FU656" s="25"/>
      <c r="FV656" s="28"/>
      <c r="FW656" s="28"/>
      <c r="FX656" s="28"/>
      <c r="FY656" s="26"/>
      <c r="FZ656" s="26"/>
      <c r="GA656" s="26"/>
      <c r="GB656" s="26"/>
      <c r="GC656" s="26"/>
      <c r="GD656" s="26"/>
      <c r="GE656" s="26"/>
      <c r="GF656" s="26"/>
      <c r="GG656" s="26"/>
      <c r="GH656" s="26"/>
      <c r="GI656" s="26"/>
      <c r="GJ656" s="26"/>
      <c r="GK656" s="26"/>
      <c r="GL656" s="65"/>
      <c r="GM656" s="26"/>
      <c r="GN656" s="26"/>
      <c r="GO656" s="26"/>
      <c r="GP656" s="26"/>
      <c r="GQ656" s="26"/>
      <c r="GR656" s="26"/>
      <c r="GS656" s="64"/>
      <c r="GT656" s="26"/>
      <c r="GU656" s="26"/>
      <c r="GV656" s="26"/>
      <c r="GW656" s="26"/>
      <c r="GX656" s="64">
        <v>65</v>
      </c>
      <c r="GY656" s="26"/>
      <c r="GZ656" s="26"/>
      <c r="HA656" s="26"/>
      <c r="HB656" s="26"/>
      <c r="HC656" s="65"/>
      <c r="HD656" s="26"/>
      <c r="HE656" s="26"/>
      <c r="HF656" s="26"/>
      <c r="HG656" s="26"/>
      <c r="HH656" s="65"/>
      <c r="HI656" s="26"/>
      <c r="HJ656" s="26"/>
      <c r="HK656" s="25"/>
      <c r="HL656" s="25"/>
    </row>
    <row r="657" spans="1:220" ht="15.75" customHeight="1" x14ac:dyDescent="0.2">
      <c r="A657" s="75">
        <v>43697.267361111109</v>
      </c>
      <c r="B657" s="26">
        <v>590917</v>
      </c>
      <c r="C657" s="72">
        <v>40</v>
      </c>
      <c r="D657" s="86" t="s">
        <v>698</v>
      </c>
      <c r="E657" s="32">
        <f t="shared" si="20"/>
        <v>0</v>
      </c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  <c r="FJ657" s="25"/>
      <c r="FK657" s="25"/>
      <c r="FL657" s="25"/>
      <c r="FM657" s="25"/>
      <c r="FN657" s="25"/>
      <c r="FO657" s="25"/>
      <c r="FP657" s="25"/>
      <c r="FQ657" s="25"/>
      <c r="FR657" s="25"/>
      <c r="FS657" s="25"/>
      <c r="FT657" s="25"/>
      <c r="FU657" s="25"/>
      <c r="FV657" s="28"/>
      <c r="FW657" s="28"/>
      <c r="FX657" s="28"/>
      <c r="FY657" s="26"/>
      <c r="FZ657" s="26"/>
      <c r="GA657" s="26"/>
      <c r="GB657" s="26"/>
      <c r="GC657" s="26"/>
      <c r="GD657" s="26"/>
      <c r="GE657" s="26"/>
      <c r="GF657" s="26"/>
      <c r="GG657" s="26"/>
      <c r="GH657" s="26"/>
      <c r="GI657" s="26"/>
      <c r="GJ657" s="26"/>
      <c r="GK657" s="26"/>
      <c r="GL657" s="65"/>
      <c r="GM657" s="26"/>
      <c r="GN657" s="26"/>
      <c r="GO657" s="26"/>
      <c r="GP657" s="26"/>
      <c r="GQ657" s="26"/>
      <c r="GR657" s="26"/>
      <c r="GS657" s="64"/>
      <c r="GT657" s="26"/>
      <c r="GU657" s="26"/>
      <c r="GV657" s="26"/>
      <c r="GW657" s="26"/>
      <c r="GX657" s="64">
        <v>40</v>
      </c>
      <c r="GY657" s="26"/>
      <c r="GZ657" s="26"/>
      <c r="HA657" s="26"/>
      <c r="HB657" s="26"/>
      <c r="HC657" s="65"/>
      <c r="HD657" s="26"/>
      <c r="HE657" s="26"/>
      <c r="HF657" s="26"/>
      <c r="HG657" s="26"/>
      <c r="HH657" s="65"/>
      <c r="HI657" s="26"/>
      <c r="HJ657" s="26"/>
      <c r="HK657" s="25"/>
      <c r="HL657" s="25"/>
    </row>
    <row r="658" spans="1:220" ht="15.75" customHeight="1" x14ac:dyDescent="0.2">
      <c r="A658" s="75">
        <v>43697.177777777775</v>
      </c>
      <c r="B658" s="26">
        <v>590908</v>
      </c>
      <c r="C658" s="72">
        <v>90</v>
      </c>
      <c r="D658" s="86" t="s">
        <v>699</v>
      </c>
      <c r="E658" s="32">
        <f t="shared" si="20"/>
        <v>0</v>
      </c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  <c r="FJ658" s="25"/>
      <c r="FK658" s="25"/>
      <c r="FL658" s="25"/>
      <c r="FM658" s="25"/>
      <c r="FN658" s="25"/>
      <c r="FO658" s="25"/>
      <c r="FP658" s="25"/>
      <c r="FQ658" s="25"/>
      <c r="FR658" s="25"/>
      <c r="FS658" s="25"/>
      <c r="FT658" s="25"/>
      <c r="FU658" s="25"/>
      <c r="FV658" s="28"/>
      <c r="FW658" s="28"/>
      <c r="FX658" s="28"/>
      <c r="FY658" s="26"/>
      <c r="FZ658" s="26"/>
      <c r="GA658" s="26"/>
      <c r="GB658" s="26"/>
      <c r="GC658" s="26"/>
      <c r="GD658" s="26"/>
      <c r="GE658" s="26"/>
      <c r="GF658" s="26"/>
      <c r="GG658" s="26"/>
      <c r="GH658" s="26"/>
      <c r="GI658" s="26"/>
      <c r="GJ658" s="26"/>
      <c r="GK658" s="26"/>
      <c r="GL658" s="65"/>
      <c r="GM658" s="26"/>
      <c r="GN658" s="26"/>
      <c r="GO658" s="26"/>
      <c r="GP658" s="26"/>
      <c r="GQ658" s="26"/>
      <c r="GR658" s="26"/>
      <c r="GS658" s="64"/>
      <c r="GT658" s="26"/>
      <c r="GU658" s="26"/>
      <c r="GV658" s="26"/>
      <c r="GW658" s="26"/>
      <c r="GX658" s="64">
        <v>90</v>
      </c>
      <c r="GY658" s="26"/>
      <c r="GZ658" s="26"/>
      <c r="HA658" s="26"/>
      <c r="HB658" s="26"/>
      <c r="HC658" s="65"/>
      <c r="HD658" s="26"/>
      <c r="HE658" s="26"/>
      <c r="HF658" s="26"/>
      <c r="HG658" s="26"/>
      <c r="HH658" s="65"/>
      <c r="HI658" s="26"/>
      <c r="HJ658" s="26"/>
      <c r="HK658" s="25"/>
      <c r="HL658" s="25"/>
    </row>
    <row r="659" spans="1:220" ht="15.75" customHeight="1" x14ac:dyDescent="0.2">
      <c r="A659" s="75">
        <v>43697.134027777778</v>
      </c>
      <c r="B659" s="26">
        <v>590897</v>
      </c>
      <c r="C659" s="72">
        <v>19</v>
      </c>
      <c r="D659" s="86" t="s">
        <v>700</v>
      </c>
      <c r="E659" s="32">
        <f t="shared" si="20"/>
        <v>0</v>
      </c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  <c r="FJ659" s="25"/>
      <c r="FK659" s="25"/>
      <c r="FL659" s="25"/>
      <c r="FM659" s="25"/>
      <c r="FN659" s="25"/>
      <c r="FO659" s="25"/>
      <c r="FP659" s="25"/>
      <c r="FQ659" s="25"/>
      <c r="FR659" s="25"/>
      <c r="FS659" s="25"/>
      <c r="FT659" s="25"/>
      <c r="FU659" s="25"/>
      <c r="FV659" s="28"/>
      <c r="FW659" s="28"/>
      <c r="FX659" s="28"/>
      <c r="FY659" s="26"/>
      <c r="FZ659" s="26"/>
      <c r="GA659" s="26"/>
      <c r="GB659" s="26"/>
      <c r="GC659" s="26"/>
      <c r="GD659" s="26"/>
      <c r="GE659" s="26"/>
      <c r="GF659" s="26"/>
      <c r="GG659" s="26"/>
      <c r="GH659" s="26"/>
      <c r="GI659" s="26"/>
      <c r="GJ659" s="26"/>
      <c r="GK659" s="26"/>
      <c r="GL659" s="65"/>
      <c r="GM659" s="26"/>
      <c r="GN659" s="26"/>
      <c r="GO659" s="26"/>
      <c r="GP659" s="26"/>
      <c r="GQ659" s="26"/>
      <c r="GR659" s="26"/>
      <c r="GS659" s="64"/>
      <c r="GT659" s="26"/>
      <c r="GU659" s="26"/>
      <c r="GV659" s="26"/>
      <c r="GW659" s="26"/>
      <c r="GX659" s="64">
        <v>19</v>
      </c>
      <c r="GY659" s="26"/>
      <c r="GZ659" s="26"/>
      <c r="HA659" s="26"/>
      <c r="HB659" s="26"/>
      <c r="HC659" s="65"/>
      <c r="HD659" s="26"/>
      <c r="HE659" s="26"/>
      <c r="HF659" s="26"/>
      <c r="HG659" s="26"/>
      <c r="HH659" s="65"/>
      <c r="HI659" s="26"/>
      <c r="HJ659" s="26"/>
      <c r="HK659" s="25"/>
      <c r="HL659" s="25"/>
    </row>
    <row r="660" spans="1:220" ht="15.75" customHeight="1" x14ac:dyDescent="0.2">
      <c r="A660" s="75">
        <v>43697.113888888889</v>
      </c>
      <c r="B660" s="26">
        <v>590893</v>
      </c>
      <c r="C660" s="72">
        <v>16</v>
      </c>
      <c r="D660" s="86" t="s">
        <v>701</v>
      </c>
      <c r="E660" s="32">
        <f t="shared" si="20"/>
        <v>0</v>
      </c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  <c r="FJ660" s="25"/>
      <c r="FK660" s="25"/>
      <c r="FL660" s="25"/>
      <c r="FM660" s="25"/>
      <c r="FN660" s="25"/>
      <c r="FO660" s="25"/>
      <c r="FP660" s="25"/>
      <c r="FQ660" s="25"/>
      <c r="FR660" s="25"/>
      <c r="FS660" s="25"/>
      <c r="FT660" s="25"/>
      <c r="FU660" s="25"/>
      <c r="FV660" s="28"/>
      <c r="FW660" s="28"/>
      <c r="FX660" s="28"/>
      <c r="FY660" s="26"/>
      <c r="FZ660" s="26"/>
      <c r="GA660" s="26"/>
      <c r="GB660" s="26"/>
      <c r="GC660" s="26"/>
      <c r="GD660" s="26"/>
      <c r="GE660" s="26"/>
      <c r="GF660" s="26"/>
      <c r="GG660" s="26"/>
      <c r="GH660" s="26"/>
      <c r="GI660" s="26"/>
      <c r="GJ660" s="26"/>
      <c r="GK660" s="26"/>
      <c r="GL660" s="65"/>
      <c r="GM660" s="26"/>
      <c r="GN660" s="26"/>
      <c r="GO660" s="26"/>
      <c r="GP660" s="26"/>
      <c r="GQ660" s="26"/>
      <c r="GR660" s="26"/>
      <c r="GS660" s="64"/>
      <c r="GT660" s="26"/>
      <c r="GU660" s="26"/>
      <c r="GV660" s="26"/>
      <c r="GW660" s="26"/>
      <c r="GX660" s="64">
        <v>16</v>
      </c>
      <c r="GY660" s="26"/>
      <c r="GZ660" s="26"/>
      <c r="HA660" s="26"/>
      <c r="HB660" s="26"/>
      <c r="HC660" s="65"/>
      <c r="HD660" s="26"/>
      <c r="HE660" s="26"/>
      <c r="HF660" s="26"/>
      <c r="HG660" s="26"/>
      <c r="HH660" s="65"/>
      <c r="HI660" s="26"/>
      <c r="HJ660" s="26"/>
      <c r="HK660" s="25"/>
      <c r="HL660" s="25"/>
    </row>
    <row r="661" spans="1:220" ht="15.75" customHeight="1" x14ac:dyDescent="0.2">
      <c r="A661" s="75">
        <v>43697.101388888892</v>
      </c>
      <c r="B661" s="26">
        <v>590888</v>
      </c>
      <c r="C661" s="72">
        <v>20</v>
      </c>
      <c r="D661" s="86" t="s">
        <v>702</v>
      </c>
      <c r="E661" s="32">
        <f t="shared" si="20"/>
        <v>0</v>
      </c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  <c r="FJ661" s="25"/>
      <c r="FK661" s="25"/>
      <c r="FL661" s="25"/>
      <c r="FM661" s="25"/>
      <c r="FN661" s="25"/>
      <c r="FO661" s="25"/>
      <c r="FP661" s="25"/>
      <c r="FQ661" s="25"/>
      <c r="FR661" s="25"/>
      <c r="FS661" s="25"/>
      <c r="FT661" s="25"/>
      <c r="FU661" s="25"/>
      <c r="FV661" s="28"/>
      <c r="FW661" s="28"/>
      <c r="FX661" s="28"/>
      <c r="FY661" s="26"/>
      <c r="FZ661" s="26"/>
      <c r="GA661" s="26"/>
      <c r="GB661" s="26"/>
      <c r="GC661" s="26"/>
      <c r="GD661" s="26"/>
      <c r="GE661" s="26"/>
      <c r="GF661" s="26"/>
      <c r="GG661" s="26"/>
      <c r="GH661" s="26"/>
      <c r="GI661" s="26"/>
      <c r="GJ661" s="26"/>
      <c r="GK661" s="26"/>
      <c r="GL661" s="65"/>
      <c r="GM661" s="26"/>
      <c r="GN661" s="26"/>
      <c r="GO661" s="26"/>
      <c r="GP661" s="26"/>
      <c r="GQ661" s="26"/>
      <c r="GR661" s="26"/>
      <c r="GS661" s="64"/>
      <c r="GT661" s="26"/>
      <c r="GU661" s="26"/>
      <c r="GV661" s="26"/>
      <c r="GW661" s="26"/>
      <c r="GX661" s="64">
        <v>20</v>
      </c>
      <c r="GY661" s="26"/>
      <c r="GZ661" s="26"/>
      <c r="HA661" s="26"/>
      <c r="HB661" s="26"/>
      <c r="HC661" s="65"/>
      <c r="HD661" s="26"/>
      <c r="HE661" s="26"/>
      <c r="HF661" s="26"/>
      <c r="HG661" s="26"/>
      <c r="HH661" s="65"/>
      <c r="HI661" s="26"/>
      <c r="HJ661" s="26"/>
      <c r="HK661" s="25"/>
      <c r="HL661" s="25"/>
    </row>
    <row r="662" spans="1:220" ht="15.75" customHeight="1" x14ac:dyDescent="0.2">
      <c r="A662" s="75">
        <v>43697.101388888892</v>
      </c>
      <c r="B662" s="26">
        <v>590888</v>
      </c>
      <c r="C662" s="72">
        <v>23</v>
      </c>
      <c r="D662" s="86" t="s">
        <v>703</v>
      </c>
      <c r="E662" s="32">
        <f t="shared" si="20"/>
        <v>0</v>
      </c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  <c r="FJ662" s="25"/>
      <c r="FK662" s="25"/>
      <c r="FL662" s="25"/>
      <c r="FM662" s="25"/>
      <c r="FN662" s="25"/>
      <c r="FO662" s="25"/>
      <c r="FP662" s="25"/>
      <c r="FQ662" s="25"/>
      <c r="FR662" s="25"/>
      <c r="FS662" s="25"/>
      <c r="FT662" s="25"/>
      <c r="FU662" s="25"/>
      <c r="FV662" s="28"/>
      <c r="FW662" s="28"/>
      <c r="FX662" s="28"/>
      <c r="FY662" s="26"/>
      <c r="FZ662" s="26"/>
      <c r="GA662" s="26"/>
      <c r="GB662" s="26"/>
      <c r="GC662" s="26"/>
      <c r="GD662" s="26"/>
      <c r="GE662" s="26"/>
      <c r="GF662" s="26"/>
      <c r="GG662" s="26"/>
      <c r="GH662" s="26"/>
      <c r="GI662" s="26"/>
      <c r="GJ662" s="26"/>
      <c r="GK662" s="26"/>
      <c r="GL662" s="65"/>
      <c r="GM662" s="26"/>
      <c r="GN662" s="26"/>
      <c r="GO662" s="26"/>
      <c r="GP662" s="26"/>
      <c r="GQ662" s="26"/>
      <c r="GR662" s="26"/>
      <c r="GS662" s="64"/>
      <c r="GT662" s="26"/>
      <c r="GU662" s="26"/>
      <c r="GV662" s="26"/>
      <c r="GW662" s="26"/>
      <c r="GX662" s="64">
        <v>23</v>
      </c>
      <c r="GY662" s="26"/>
      <c r="GZ662" s="26"/>
      <c r="HA662" s="26"/>
      <c r="HB662" s="26"/>
      <c r="HC662" s="65"/>
      <c r="HD662" s="26"/>
      <c r="HE662" s="26"/>
      <c r="HF662" s="26"/>
      <c r="HG662" s="26"/>
      <c r="HH662" s="65"/>
      <c r="HI662" s="26"/>
      <c r="HJ662" s="26"/>
      <c r="HK662" s="25"/>
      <c r="HL662" s="25"/>
    </row>
    <row r="663" spans="1:220" ht="15.75" customHeight="1" x14ac:dyDescent="0.2">
      <c r="A663" s="75">
        <v>43697.101388888892</v>
      </c>
      <c r="B663" s="26">
        <v>590888</v>
      </c>
      <c r="C663" s="72">
        <v>18</v>
      </c>
      <c r="D663" s="86" t="s">
        <v>704</v>
      </c>
      <c r="E663" s="32">
        <f t="shared" si="20"/>
        <v>0</v>
      </c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  <c r="FJ663" s="25"/>
      <c r="FK663" s="25"/>
      <c r="FL663" s="25"/>
      <c r="FM663" s="25"/>
      <c r="FN663" s="25"/>
      <c r="FO663" s="25"/>
      <c r="FP663" s="25"/>
      <c r="FQ663" s="25"/>
      <c r="FR663" s="25"/>
      <c r="FS663" s="25"/>
      <c r="FT663" s="25"/>
      <c r="FU663" s="25"/>
      <c r="FV663" s="28"/>
      <c r="FW663" s="28"/>
      <c r="FX663" s="28"/>
      <c r="FY663" s="26"/>
      <c r="FZ663" s="26"/>
      <c r="GA663" s="26"/>
      <c r="GB663" s="26"/>
      <c r="GC663" s="26"/>
      <c r="GD663" s="26"/>
      <c r="GE663" s="26"/>
      <c r="GF663" s="26"/>
      <c r="GG663" s="26"/>
      <c r="GH663" s="26"/>
      <c r="GI663" s="26"/>
      <c r="GJ663" s="26"/>
      <c r="GK663" s="26"/>
      <c r="GL663" s="65"/>
      <c r="GM663" s="26"/>
      <c r="GN663" s="26"/>
      <c r="GO663" s="26"/>
      <c r="GP663" s="26"/>
      <c r="GQ663" s="26"/>
      <c r="GR663" s="26"/>
      <c r="GS663" s="64"/>
      <c r="GT663" s="26"/>
      <c r="GU663" s="26"/>
      <c r="GV663" s="26"/>
      <c r="GW663" s="26"/>
      <c r="GX663" s="64">
        <v>18</v>
      </c>
      <c r="GY663" s="26"/>
      <c r="GZ663" s="26"/>
      <c r="HA663" s="26"/>
      <c r="HB663" s="26"/>
      <c r="HC663" s="65"/>
      <c r="HD663" s="26"/>
      <c r="HE663" s="26"/>
      <c r="HF663" s="26"/>
      <c r="HG663" s="26"/>
      <c r="HH663" s="65"/>
      <c r="HI663" s="26"/>
      <c r="HJ663" s="26"/>
      <c r="HK663" s="25"/>
      <c r="HL663" s="25"/>
    </row>
    <row r="664" spans="1:220" ht="15.75" customHeight="1" x14ac:dyDescent="0.2">
      <c r="A664" s="75">
        <v>43697.079861111109</v>
      </c>
      <c r="B664" s="26">
        <v>590884</v>
      </c>
      <c r="C664" s="72">
        <v>22</v>
      </c>
      <c r="D664" s="86" t="s">
        <v>705</v>
      </c>
      <c r="E664" s="32">
        <f t="shared" si="20"/>
        <v>0</v>
      </c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  <c r="FJ664" s="25"/>
      <c r="FK664" s="25"/>
      <c r="FL664" s="25"/>
      <c r="FM664" s="25"/>
      <c r="FN664" s="25"/>
      <c r="FO664" s="25"/>
      <c r="FP664" s="25"/>
      <c r="FQ664" s="25"/>
      <c r="FR664" s="25"/>
      <c r="FS664" s="25"/>
      <c r="FT664" s="25"/>
      <c r="FU664" s="25"/>
      <c r="FV664" s="28"/>
      <c r="FW664" s="28"/>
      <c r="FX664" s="28"/>
      <c r="FY664" s="26"/>
      <c r="FZ664" s="26"/>
      <c r="GA664" s="26"/>
      <c r="GB664" s="26"/>
      <c r="GC664" s="26"/>
      <c r="GD664" s="26"/>
      <c r="GE664" s="26"/>
      <c r="GF664" s="26"/>
      <c r="GG664" s="26"/>
      <c r="GH664" s="26"/>
      <c r="GI664" s="26"/>
      <c r="GJ664" s="26"/>
      <c r="GK664" s="26"/>
      <c r="GL664" s="65"/>
      <c r="GM664" s="26"/>
      <c r="GN664" s="26"/>
      <c r="GO664" s="26"/>
      <c r="GP664" s="26"/>
      <c r="GQ664" s="26"/>
      <c r="GR664" s="26"/>
      <c r="GS664" s="64"/>
      <c r="GT664" s="26"/>
      <c r="GU664" s="26"/>
      <c r="GV664" s="26"/>
      <c r="GW664" s="26"/>
      <c r="GX664" s="64">
        <v>22</v>
      </c>
      <c r="GY664" s="26"/>
      <c r="GZ664" s="26"/>
      <c r="HA664" s="26"/>
      <c r="HB664" s="26"/>
      <c r="HC664" s="65"/>
      <c r="HD664" s="26"/>
      <c r="HE664" s="26"/>
      <c r="HF664" s="26"/>
      <c r="HG664" s="26"/>
      <c r="HH664" s="65"/>
      <c r="HI664" s="26"/>
      <c r="HJ664" s="26"/>
      <c r="HK664" s="25"/>
      <c r="HL664" s="25"/>
    </row>
    <row r="665" spans="1:220" ht="15.75" customHeight="1" x14ac:dyDescent="0.2">
      <c r="A665" s="75">
        <v>43696.619444444441</v>
      </c>
      <c r="B665" s="26">
        <v>590812</v>
      </c>
      <c r="C665" s="72">
        <v>70</v>
      </c>
      <c r="D665" s="86" t="s">
        <v>706</v>
      </c>
      <c r="E665" s="32">
        <f t="shared" si="20"/>
        <v>0</v>
      </c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  <c r="FJ665" s="25"/>
      <c r="FK665" s="25"/>
      <c r="FL665" s="25"/>
      <c r="FM665" s="25"/>
      <c r="FN665" s="25"/>
      <c r="FO665" s="25"/>
      <c r="FP665" s="25"/>
      <c r="FQ665" s="25"/>
      <c r="FR665" s="25"/>
      <c r="FS665" s="25"/>
      <c r="FT665" s="25"/>
      <c r="FU665" s="25"/>
      <c r="FV665" s="28"/>
      <c r="FW665" s="28"/>
      <c r="FX665" s="28"/>
      <c r="FY665" s="26"/>
      <c r="FZ665" s="26"/>
      <c r="GA665" s="26"/>
      <c r="GB665" s="26"/>
      <c r="GC665" s="26"/>
      <c r="GD665" s="26"/>
      <c r="GE665" s="26"/>
      <c r="GF665" s="26"/>
      <c r="GG665" s="26"/>
      <c r="GH665" s="26"/>
      <c r="GI665" s="26"/>
      <c r="GJ665" s="26"/>
      <c r="GK665" s="26"/>
      <c r="GL665" s="65"/>
      <c r="GM665" s="26"/>
      <c r="GN665" s="26"/>
      <c r="GO665" s="26"/>
      <c r="GP665" s="26"/>
      <c r="GQ665" s="26"/>
      <c r="GR665" s="26"/>
      <c r="GS665" s="64"/>
      <c r="GT665" s="26"/>
      <c r="GU665" s="26"/>
      <c r="GV665" s="26"/>
      <c r="GW665" s="26"/>
      <c r="GX665" s="64"/>
      <c r="GY665" s="26">
        <v>70</v>
      </c>
      <c r="GZ665" s="26"/>
      <c r="HA665" s="26"/>
      <c r="HB665" s="26"/>
      <c r="HC665" s="65"/>
      <c r="HD665" s="26"/>
      <c r="HE665" s="26"/>
      <c r="HF665" s="26"/>
      <c r="HG665" s="26"/>
      <c r="HH665" s="65"/>
      <c r="HI665" s="26"/>
      <c r="HJ665" s="26"/>
      <c r="HK665" s="25"/>
      <c r="HL665" s="25"/>
    </row>
    <row r="666" spans="1:220" ht="15.75" customHeight="1" x14ac:dyDescent="0.2">
      <c r="A666" s="75">
        <v>43696.540972222225</v>
      </c>
      <c r="B666" s="26">
        <v>590801</v>
      </c>
      <c r="C666" s="72">
        <v>50</v>
      </c>
      <c r="D666" s="86" t="s">
        <v>707</v>
      </c>
      <c r="E666" s="32">
        <f t="shared" si="20"/>
        <v>0</v>
      </c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  <c r="FJ666" s="25"/>
      <c r="FK666" s="25"/>
      <c r="FL666" s="25"/>
      <c r="FM666" s="25"/>
      <c r="FN666" s="25"/>
      <c r="FO666" s="25"/>
      <c r="FP666" s="25"/>
      <c r="FQ666" s="25"/>
      <c r="FR666" s="25"/>
      <c r="FS666" s="25"/>
      <c r="FT666" s="25"/>
      <c r="FU666" s="25"/>
      <c r="FV666" s="28"/>
      <c r="FW666" s="28"/>
      <c r="FX666" s="28"/>
      <c r="FY666" s="26"/>
      <c r="FZ666" s="26"/>
      <c r="GA666" s="26"/>
      <c r="GB666" s="26"/>
      <c r="GC666" s="26"/>
      <c r="GD666" s="26"/>
      <c r="GE666" s="26"/>
      <c r="GF666" s="26"/>
      <c r="GG666" s="26"/>
      <c r="GH666" s="26"/>
      <c r="GI666" s="26"/>
      <c r="GJ666" s="26"/>
      <c r="GK666" s="26"/>
      <c r="GL666" s="65"/>
      <c r="GM666" s="26"/>
      <c r="GN666" s="26"/>
      <c r="GO666" s="26"/>
      <c r="GP666" s="26"/>
      <c r="GQ666" s="26"/>
      <c r="GR666" s="26"/>
      <c r="GS666" s="64"/>
      <c r="GT666" s="26"/>
      <c r="GU666" s="26"/>
      <c r="GV666" s="26"/>
      <c r="GW666" s="26"/>
      <c r="GX666" s="64"/>
      <c r="GY666" s="26">
        <v>50</v>
      </c>
      <c r="GZ666" s="26"/>
      <c r="HA666" s="26"/>
      <c r="HB666" s="26"/>
      <c r="HC666" s="65"/>
      <c r="HD666" s="26"/>
      <c r="HE666" s="26"/>
      <c r="HF666" s="26"/>
      <c r="HG666" s="26"/>
      <c r="HH666" s="65"/>
      <c r="HI666" s="26"/>
      <c r="HJ666" s="26"/>
      <c r="HK666" s="25"/>
      <c r="HL666" s="25"/>
    </row>
    <row r="667" spans="1:220" ht="15.75" customHeight="1" x14ac:dyDescent="0.2">
      <c r="A667" s="75">
        <v>43696.469444444447</v>
      </c>
      <c r="B667" s="26">
        <v>590790</v>
      </c>
      <c r="C667" s="72">
        <v>70</v>
      </c>
      <c r="D667" s="86" t="s">
        <v>708</v>
      </c>
      <c r="E667" s="32">
        <f t="shared" si="20"/>
        <v>0</v>
      </c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  <c r="FJ667" s="25"/>
      <c r="FK667" s="25"/>
      <c r="FL667" s="25"/>
      <c r="FM667" s="25"/>
      <c r="FN667" s="25"/>
      <c r="FO667" s="25"/>
      <c r="FP667" s="25"/>
      <c r="FQ667" s="25"/>
      <c r="FR667" s="25"/>
      <c r="FS667" s="25"/>
      <c r="FT667" s="25"/>
      <c r="FU667" s="25"/>
      <c r="FV667" s="28"/>
      <c r="FW667" s="28"/>
      <c r="FX667" s="28"/>
      <c r="FY667" s="26"/>
      <c r="FZ667" s="26"/>
      <c r="GA667" s="26"/>
      <c r="GB667" s="26"/>
      <c r="GC667" s="26"/>
      <c r="GD667" s="26"/>
      <c r="GE667" s="26"/>
      <c r="GF667" s="26"/>
      <c r="GG667" s="26"/>
      <c r="GH667" s="26"/>
      <c r="GI667" s="26"/>
      <c r="GJ667" s="26"/>
      <c r="GK667" s="26"/>
      <c r="GL667" s="65"/>
      <c r="GM667" s="26"/>
      <c r="GN667" s="26"/>
      <c r="GO667" s="26"/>
      <c r="GP667" s="26"/>
      <c r="GQ667" s="26"/>
      <c r="GR667" s="26"/>
      <c r="GS667" s="64"/>
      <c r="GT667" s="26"/>
      <c r="GU667" s="26"/>
      <c r="GV667" s="26"/>
      <c r="GW667" s="26"/>
      <c r="GX667" s="64"/>
      <c r="GY667" s="26">
        <v>70</v>
      </c>
      <c r="GZ667" s="26"/>
      <c r="HA667" s="26"/>
      <c r="HB667" s="26"/>
      <c r="HC667" s="65"/>
      <c r="HD667" s="26"/>
      <c r="HE667" s="26"/>
      <c r="HF667" s="26"/>
      <c r="HG667" s="26"/>
      <c r="HH667" s="65"/>
      <c r="HI667" s="26"/>
      <c r="HJ667" s="26"/>
      <c r="HK667" s="25"/>
      <c r="HL667" s="25"/>
    </row>
    <row r="668" spans="1:220" ht="15.75" customHeight="1" x14ac:dyDescent="0.2">
      <c r="A668" s="75">
        <v>43696.445138888892</v>
      </c>
      <c r="B668" s="26">
        <v>590787</v>
      </c>
      <c r="C668" s="72">
        <v>60</v>
      </c>
      <c r="D668" s="86" t="s">
        <v>709</v>
      </c>
      <c r="E668" s="32">
        <f t="shared" si="20"/>
        <v>0</v>
      </c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  <c r="FJ668" s="25"/>
      <c r="FK668" s="25"/>
      <c r="FL668" s="25"/>
      <c r="FM668" s="25"/>
      <c r="FN668" s="25"/>
      <c r="FO668" s="25"/>
      <c r="FP668" s="25"/>
      <c r="FQ668" s="25"/>
      <c r="FR668" s="25"/>
      <c r="FS668" s="25"/>
      <c r="FT668" s="25"/>
      <c r="FU668" s="25"/>
      <c r="FV668" s="28"/>
      <c r="FW668" s="28"/>
      <c r="FX668" s="28"/>
      <c r="FY668" s="26"/>
      <c r="FZ668" s="26"/>
      <c r="GA668" s="26"/>
      <c r="GB668" s="26"/>
      <c r="GC668" s="26"/>
      <c r="GD668" s="26"/>
      <c r="GE668" s="26"/>
      <c r="GF668" s="26"/>
      <c r="GG668" s="26"/>
      <c r="GH668" s="26"/>
      <c r="GI668" s="26"/>
      <c r="GJ668" s="26"/>
      <c r="GK668" s="26"/>
      <c r="GL668" s="65"/>
      <c r="GM668" s="26"/>
      <c r="GN668" s="26"/>
      <c r="GO668" s="26"/>
      <c r="GP668" s="26"/>
      <c r="GQ668" s="26"/>
      <c r="GR668" s="26"/>
      <c r="GS668" s="64"/>
      <c r="GT668" s="26"/>
      <c r="GU668" s="26"/>
      <c r="GV668" s="26"/>
      <c r="GW668" s="26"/>
      <c r="GX668" s="64"/>
      <c r="GY668" s="26">
        <v>60</v>
      </c>
      <c r="GZ668" s="26"/>
      <c r="HA668" s="26"/>
      <c r="HB668" s="26"/>
      <c r="HC668" s="65"/>
      <c r="HD668" s="26"/>
      <c r="HE668" s="26"/>
      <c r="HF668" s="26"/>
      <c r="HG668" s="26"/>
      <c r="HH668" s="65"/>
      <c r="HI668" s="26"/>
      <c r="HJ668" s="26"/>
      <c r="HK668" s="25"/>
      <c r="HL668" s="25"/>
    </row>
    <row r="669" spans="1:220" ht="15.75" customHeight="1" x14ac:dyDescent="0.2">
      <c r="A669" s="75">
        <v>43696.309027777781</v>
      </c>
      <c r="B669" s="26">
        <v>590772</v>
      </c>
      <c r="C669" s="72">
        <v>90</v>
      </c>
      <c r="D669" s="86" t="s">
        <v>710</v>
      </c>
      <c r="E669" s="32">
        <f t="shared" si="20"/>
        <v>0</v>
      </c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  <c r="FJ669" s="25"/>
      <c r="FK669" s="25"/>
      <c r="FL669" s="25"/>
      <c r="FM669" s="25"/>
      <c r="FN669" s="25"/>
      <c r="FO669" s="25"/>
      <c r="FP669" s="25"/>
      <c r="FQ669" s="25"/>
      <c r="FR669" s="25"/>
      <c r="FS669" s="25"/>
      <c r="FT669" s="25"/>
      <c r="FU669" s="25"/>
      <c r="FV669" s="28"/>
      <c r="FW669" s="28"/>
      <c r="FX669" s="28"/>
      <c r="FY669" s="26"/>
      <c r="FZ669" s="26"/>
      <c r="GA669" s="26"/>
      <c r="GB669" s="26"/>
      <c r="GC669" s="26"/>
      <c r="GD669" s="26"/>
      <c r="GE669" s="26"/>
      <c r="GF669" s="26"/>
      <c r="GG669" s="26"/>
      <c r="GH669" s="26"/>
      <c r="GI669" s="26"/>
      <c r="GJ669" s="26"/>
      <c r="GK669" s="26"/>
      <c r="GL669" s="65"/>
      <c r="GM669" s="26"/>
      <c r="GN669" s="26"/>
      <c r="GO669" s="26"/>
      <c r="GP669" s="26"/>
      <c r="GQ669" s="26"/>
      <c r="GR669" s="26"/>
      <c r="GS669" s="64"/>
      <c r="GT669" s="26"/>
      <c r="GU669" s="26"/>
      <c r="GV669" s="26"/>
      <c r="GW669" s="26"/>
      <c r="GX669" s="64"/>
      <c r="GY669" s="26">
        <v>90</v>
      </c>
      <c r="GZ669" s="26"/>
      <c r="HA669" s="26"/>
      <c r="HB669" s="26"/>
      <c r="HC669" s="65"/>
      <c r="HD669" s="26"/>
      <c r="HE669" s="26"/>
      <c r="HF669" s="26"/>
      <c r="HG669" s="26"/>
      <c r="HH669" s="65"/>
      <c r="HI669" s="26"/>
      <c r="HJ669" s="26"/>
      <c r="HK669" s="25"/>
      <c r="HL669" s="25"/>
    </row>
    <row r="670" spans="1:220" ht="15.75" customHeight="1" x14ac:dyDescent="0.2">
      <c r="A670" s="75">
        <v>43696.28402777778</v>
      </c>
      <c r="B670" s="26">
        <v>590770</v>
      </c>
      <c r="C670" s="72">
        <v>70</v>
      </c>
      <c r="D670" s="86" t="s">
        <v>711</v>
      </c>
      <c r="E670" s="32">
        <f t="shared" si="20"/>
        <v>0</v>
      </c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  <c r="FJ670" s="25"/>
      <c r="FK670" s="25"/>
      <c r="FL670" s="25"/>
      <c r="FM670" s="25"/>
      <c r="FN670" s="25"/>
      <c r="FO670" s="25"/>
      <c r="FP670" s="25"/>
      <c r="FQ670" s="25"/>
      <c r="FR670" s="25"/>
      <c r="FS670" s="25"/>
      <c r="FT670" s="25"/>
      <c r="FU670" s="25"/>
      <c r="FV670" s="28"/>
      <c r="FW670" s="28"/>
      <c r="FX670" s="28"/>
      <c r="FY670" s="26"/>
      <c r="FZ670" s="26"/>
      <c r="GA670" s="26"/>
      <c r="GB670" s="26"/>
      <c r="GC670" s="26"/>
      <c r="GD670" s="26"/>
      <c r="GE670" s="26"/>
      <c r="GF670" s="26"/>
      <c r="GG670" s="26"/>
      <c r="GH670" s="26"/>
      <c r="GI670" s="26"/>
      <c r="GJ670" s="26"/>
      <c r="GK670" s="26"/>
      <c r="GL670" s="65"/>
      <c r="GM670" s="26"/>
      <c r="GN670" s="26"/>
      <c r="GO670" s="26"/>
      <c r="GP670" s="26"/>
      <c r="GQ670" s="26"/>
      <c r="GR670" s="26"/>
      <c r="GS670" s="64"/>
      <c r="GT670" s="26"/>
      <c r="GU670" s="26"/>
      <c r="GV670" s="26"/>
      <c r="GW670" s="26"/>
      <c r="GX670" s="64"/>
      <c r="GY670" s="26">
        <v>70</v>
      </c>
      <c r="GZ670" s="26"/>
      <c r="HA670" s="26"/>
      <c r="HB670" s="26"/>
      <c r="HC670" s="65"/>
      <c r="HD670" s="26"/>
      <c r="HE670" s="26"/>
      <c r="HF670" s="26"/>
      <c r="HG670" s="26"/>
      <c r="HH670" s="65"/>
      <c r="HI670" s="26"/>
      <c r="HJ670" s="26"/>
      <c r="HK670" s="25"/>
      <c r="HL670" s="25"/>
    </row>
    <row r="671" spans="1:220" ht="15.75" customHeight="1" x14ac:dyDescent="0.2">
      <c r="A671" s="75">
        <v>43696.254861111112</v>
      </c>
      <c r="B671" s="26">
        <v>590767</v>
      </c>
      <c r="C671" s="72">
        <v>61</v>
      </c>
      <c r="D671" s="86" t="s">
        <v>712</v>
      </c>
      <c r="E671" s="32">
        <f t="shared" si="20"/>
        <v>0</v>
      </c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  <c r="FJ671" s="25"/>
      <c r="FK671" s="25"/>
      <c r="FL671" s="25"/>
      <c r="FM671" s="25"/>
      <c r="FN671" s="25"/>
      <c r="FO671" s="25"/>
      <c r="FP671" s="25"/>
      <c r="FQ671" s="25"/>
      <c r="FR671" s="25"/>
      <c r="FS671" s="25"/>
      <c r="FT671" s="25"/>
      <c r="FU671" s="25"/>
      <c r="FV671" s="28"/>
      <c r="FW671" s="28"/>
      <c r="FX671" s="28"/>
      <c r="FY671" s="26"/>
      <c r="FZ671" s="26"/>
      <c r="GA671" s="26"/>
      <c r="GB671" s="26"/>
      <c r="GC671" s="26"/>
      <c r="GD671" s="26"/>
      <c r="GE671" s="26"/>
      <c r="GF671" s="26"/>
      <c r="GG671" s="26"/>
      <c r="GH671" s="26"/>
      <c r="GI671" s="26"/>
      <c r="GJ671" s="26"/>
      <c r="GK671" s="26"/>
      <c r="GL671" s="65"/>
      <c r="GM671" s="26"/>
      <c r="GN671" s="26"/>
      <c r="GO671" s="26"/>
      <c r="GP671" s="26"/>
      <c r="GQ671" s="26"/>
      <c r="GR671" s="26"/>
      <c r="GS671" s="64"/>
      <c r="GT671" s="26"/>
      <c r="GU671" s="26"/>
      <c r="GV671" s="26"/>
      <c r="GW671" s="26"/>
      <c r="GX671" s="64"/>
      <c r="GY671" s="26">
        <v>61</v>
      </c>
      <c r="GZ671" s="26"/>
      <c r="HA671" s="26"/>
      <c r="HB671" s="26"/>
      <c r="HC671" s="65"/>
      <c r="HD671" s="26"/>
      <c r="HE671" s="26"/>
      <c r="HF671" s="26"/>
      <c r="HG671" s="26"/>
      <c r="HH671" s="65"/>
      <c r="HI671" s="26"/>
      <c r="HJ671" s="26"/>
      <c r="HK671" s="25"/>
      <c r="HL671" s="25"/>
    </row>
    <row r="672" spans="1:220" ht="15.75" customHeight="1" x14ac:dyDescent="0.2">
      <c r="A672" s="75">
        <v>43696.058333333334</v>
      </c>
      <c r="B672" s="26">
        <v>590720</v>
      </c>
      <c r="C672" s="72">
        <v>80</v>
      </c>
      <c r="D672" s="86" t="s">
        <v>713</v>
      </c>
      <c r="E672" s="32">
        <f t="shared" si="20"/>
        <v>0</v>
      </c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  <c r="FJ672" s="25"/>
      <c r="FK672" s="25"/>
      <c r="FL672" s="25"/>
      <c r="FM672" s="25"/>
      <c r="FN672" s="25"/>
      <c r="FO672" s="25"/>
      <c r="FP672" s="25"/>
      <c r="FQ672" s="25"/>
      <c r="FR672" s="25"/>
      <c r="FS672" s="25"/>
      <c r="FT672" s="25"/>
      <c r="FU672" s="25"/>
      <c r="FV672" s="28"/>
      <c r="FW672" s="28"/>
      <c r="FX672" s="28"/>
      <c r="FY672" s="26"/>
      <c r="FZ672" s="26"/>
      <c r="GA672" s="26"/>
      <c r="GB672" s="26"/>
      <c r="GC672" s="26"/>
      <c r="GD672" s="26"/>
      <c r="GE672" s="26"/>
      <c r="GF672" s="26"/>
      <c r="GG672" s="26"/>
      <c r="GH672" s="26"/>
      <c r="GI672" s="26"/>
      <c r="GJ672" s="26"/>
      <c r="GK672" s="26"/>
      <c r="GL672" s="65"/>
      <c r="GM672" s="26"/>
      <c r="GN672" s="26"/>
      <c r="GO672" s="26"/>
      <c r="GP672" s="26"/>
      <c r="GQ672" s="26"/>
      <c r="GR672" s="26"/>
      <c r="GS672" s="64"/>
      <c r="GT672" s="26"/>
      <c r="GU672" s="26"/>
      <c r="GV672" s="26"/>
      <c r="GW672" s="26"/>
      <c r="GX672" s="64"/>
      <c r="GY672" s="26">
        <v>80</v>
      </c>
      <c r="GZ672" s="26"/>
      <c r="HA672" s="26"/>
      <c r="HB672" s="26"/>
      <c r="HC672" s="65"/>
      <c r="HD672" s="26"/>
      <c r="HE672" s="26"/>
      <c r="HF672" s="26"/>
      <c r="HG672" s="26"/>
      <c r="HH672" s="65"/>
      <c r="HI672" s="26"/>
      <c r="HJ672" s="26"/>
      <c r="HK672" s="25"/>
      <c r="HL672" s="25"/>
    </row>
    <row r="673" spans="1:220" ht="15.75" customHeight="1" x14ac:dyDescent="0.2">
      <c r="A673" s="75">
        <v>43695.106944444444</v>
      </c>
      <c r="B673" s="26">
        <v>590599</v>
      </c>
      <c r="C673" s="72">
        <v>78</v>
      </c>
      <c r="D673" s="86" t="s">
        <v>714</v>
      </c>
      <c r="E673" s="32">
        <f t="shared" si="20"/>
        <v>0</v>
      </c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  <c r="FJ673" s="25"/>
      <c r="FK673" s="25"/>
      <c r="FL673" s="25"/>
      <c r="FM673" s="25"/>
      <c r="FN673" s="25"/>
      <c r="FO673" s="25"/>
      <c r="FP673" s="25"/>
      <c r="FQ673" s="25"/>
      <c r="FR673" s="25"/>
      <c r="FS673" s="25"/>
      <c r="FT673" s="25"/>
      <c r="FU673" s="25"/>
      <c r="FV673" s="28"/>
      <c r="FW673" s="28"/>
      <c r="FX673" s="28"/>
      <c r="FY673" s="26"/>
      <c r="FZ673" s="26"/>
      <c r="GA673" s="26"/>
      <c r="GB673" s="26"/>
      <c r="GC673" s="26"/>
      <c r="GD673" s="26"/>
      <c r="GE673" s="26"/>
      <c r="GF673" s="26"/>
      <c r="GG673" s="26"/>
      <c r="GH673" s="26"/>
      <c r="GI673" s="26"/>
      <c r="GJ673" s="26"/>
      <c r="GK673" s="26"/>
      <c r="GL673" s="65"/>
      <c r="GM673" s="26"/>
      <c r="GN673" s="26"/>
      <c r="GO673" s="26"/>
      <c r="GP673" s="26"/>
      <c r="GQ673" s="26"/>
      <c r="GR673" s="26"/>
      <c r="GS673" s="64"/>
      <c r="GT673" s="26"/>
      <c r="GU673" s="26"/>
      <c r="GV673" s="26"/>
      <c r="GW673" s="26"/>
      <c r="GX673" s="64"/>
      <c r="GY673" s="25"/>
      <c r="GZ673" s="26">
        <v>78</v>
      </c>
      <c r="HA673" s="26"/>
      <c r="HB673" s="26"/>
      <c r="HC673" s="65"/>
      <c r="HD673" s="26"/>
      <c r="HE673" s="26"/>
      <c r="HF673" s="26"/>
      <c r="HG673" s="26"/>
      <c r="HH673" s="65"/>
      <c r="HI673" s="26"/>
      <c r="HJ673" s="26"/>
      <c r="HK673" s="25"/>
      <c r="HL673" s="25"/>
    </row>
    <row r="674" spans="1:220" ht="15.75" customHeight="1" x14ac:dyDescent="0.2">
      <c r="A674" s="75">
        <v>43694.637499999997</v>
      </c>
      <c r="B674" s="26">
        <v>590530</v>
      </c>
      <c r="C674" s="72">
        <v>83</v>
      </c>
      <c r="D674" s="86" t="s">
        <v>715</v>
      </c>
      <c r="E674" s="32">
        <f t="shared" si="20"/>
        <v>0</v>
      </c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  <c r="FJ674" s="25"/>
      <c r="FK674" s="25"/>
      <c r="FL674" s="25"/>
      <c r="FM674" s="25"/>
      <c r="FN674" s="25"/>
      <c r="FO674" s="25"/>
      <c r="FP674" s="25"/>
      <c r="FQ674" s="25"/>
      <c r="FR674" s="25"/>
      <c r="FS674" s="25"/>
      <c r="FT674" s="25"/>
      <c r="FU674" s="25"/>
      <c r="FV674" s="28"/>
      <c r="FW674" s="28"/>
      <c r="FX674" s="28"/>
      <c r="FY674" s="26"/>
      <c r="FZ674" s="26"/>
      <c r="GA674" s="26"/>
      <c r="GB674" s="26"/>
      <c r="GC674" s="26"/>
      <c r="GD674" s="26"/>
      <c r="GE674" s="26"/>
      <c r="GF674" s="26"/>
      <c r="GG674" s="26"/>
      <c r="GH674" s="26"/>
      <c r="GI674" s="26"/>
      <c r="GJ674" s="26"/>
      <c r="GK674" s="26"/>
      <c r="GL674" s="65"/>
      <c r="GM674" s="26"/>
      <c r="GN674" s="26"/>
      <c r="GO674" s="26"/>
      <c r="GP674" s="26"/>
      <c r="GQ674" s="26"/>
      <c r="GR674" s="26"/>
      <c r="GS674" s="64"/>
      <c r="GT674" s="26"/>
      <c r="GU674" s="26"/>
      <c r="GV674" s="26"/>
      <c r="GW674" s="26"/>
      <c r="GX674" s="64"/>
      <c r="GY674" s="25"/>
      <c r="GZ674" s="26"/>
      <c r="HA674" s="26">
        <v>83</v>
      </c>
      <c r="HB674" s="26"/>
      <c r="HC674" s="65"/>
      <c r="HD674" s="26"/>
      <c r="HE674" s="26"/>
      <c r="HF674" s="26"/>
      <c r="HG674" s="26"/>
      <c r="HH674" s="65"/>
      <c r="HI674" s="26"/>
      <c r="HJ674" s="26"/>
      <c r="HK674" s="25"/>
      <c r="HL674" s="25"/>
    </row>
    <row r="675" spans="1:220" ht="15.75" customHeight="1" x14ac:dyDescent="0.2">
      <c r="A675" s="75">
        <v>43694.536805555559</v>
      </c>
      <c r="B675" s="26">
        <v>590522</v>
      </c>
      <c r="C675" s="72">
        <v>49</v>
      </c>
      <c r="D675" s="86" t="s">
        <v>716</v>
      </c>
      <c r="E675" s="32">
        <f t="shared" si="20"/>
        <v>0</v>
      </c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  <c r="FJ675" s="25"/>
      <c r="FK675" s="25"/>
      <c r="FL675" s="25"/>
      <c r="FM675" s="25"/>
      <c r="FN675" s="25"/>
      <c r="FO675" s="25"/>
      <c r="FP675" s="25"/>
      <c r="FQ675" s="25"/>
      <c r="FR675" s="25"/>
      <c r="FS675" s="25"/>
      <c r="FT675" s="25"/>
      <c r="FU675" s="25"/>
      <c r="FV675" s="28"/>
      <c r="FW675" s="28"/>
      <c r="FX675" s="28"/>
      <c r="FY675" s="26"/>
      <c r="FZ675" s="26"/>
      <c r="GA675" s="26"/>
      <c r="GB675" s="26"/>
      <c r="GC675" s="26"/>
      <c r="GD675" s="26"/>
      <c r="GE675" s="26"/>
      <c r="GF675" s="26"/>
      <c r="GG675" s="26"/>
      <c r="GH675" s="26"/>
      <c r="GI675" s="26"/>
      <c r="GJ675" s="26"/>
      <c r="GK675" s="26"/>
      <c r="GL675" s="65"/>
      <c r="GM675" s="26"/>
      <c r="GN675" s="26"/>
      <c r="GO675" s="26"/>
      <c r="GP675" s="26"/>
      <c r="GQ675" s="26"/>
      <c r="GR675" s="26"/>
      <c r="GS675" s="64"/>
      <c r="GT675" s="26"/>
      <c r="GU675" s="26"/>
      <c r="GV675" s="26"/>
      <c r="GW675" s="26"/>
      <c r="GX675" s="64"/>
      <c r="GY675" s="25"/>
      <c r="GZ675" s="26"/>
      <c r="HA675" s="26">
        <v>49</v>
      </c>
      <c r="HB675" s="26"/>
      <c r="HC675" s="65"/>
      <c r="HD675" s="26"/>
      <c r="HE675" s="26"/>
      <c r="HF675" s="26"/>
      <c r="HG675" s="26"/>
      <c r="HH675" s="65"/>
      <c r="HI675" s="26"/>
      <c r="HJ675" s="26"/>
      <c r="HK675" s="25"/>
      <c r="HL675" s="25"/>
    </row>
    <row r="676" spans="1:220" ht="15.75" customHeight="1" x14ac:dyDescent="0.2">
      <c r="A676" s="75">
        <v>43694.50277777778</v>
      </c>
      <c r="B676" s="26">
        <v>590517</v>
      </c>
      <c r="C676" s="72">
        <v>58</v>
      </c>
      <c r="D676" s="86" t="s">
        <v>717</v>
      </c>
      <c r="E676" s="32">
        <f t="shared" si="20"/>
        <v>0</v>
      </c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  <c r="FJ676" s="25"/>
      <c r="FK676" s="25"/>
      <c r="FL676" s="25"/>
      <c r="FM676" s="25"/>
      <c r="FN676" s="25"/>
      <c r="FO676" s="25"/>
      <c r="FP676" s="25"/>
      <c r="FQ676" s="25"/>
      <c r="FR676" s="25"/>
      <c r="FS676" s="25"/>
      <c r="FT676" s="25"/>
      <c r="FU676" s="25"/>
      <c r="FV676" s="28"/>
      <c r="FW676" s="28"/>
      <c r="FX676" s="28"/>
      <c r="FY676" s="26"/>
      <c r="FZ676" s="26"/>
      <c r="GA676" s="26"/>
      <c r="GB676" s="26"/>
      <c r="GC676" s="26"/>
      <c r="GD676" s="26"/>
      <c r="GE676" s="26"/>
      <c r="GF676" s="26"/>
      <c r="GG676" s="26"/>
      <c r="GH676" s="26"/>
      <c r="GI676" s="26"/>
      <c r="GJ676" s="26"/>
      <c r="GK676" s="26"/>
      <c r="GL676" s="65"/>
      <c r="GM676" s="26"/>
      <c r="GN676" s="26"/>
      <c r="GO676" s="26"/>
      <c r="GP676" s="26"/>
      <c r="GQ676" s="26"/>
      <c r="GR676" s="26"/>
      <c r="GS676" s="64"/>
      <c r="GT676" s="26"/>
      <c r="GU676" s="26"/>
      <c r="GV676" s="26"/>
      <c r="GW676" s="26"/>
      <c r="GX676" s="64"/>
      <c r="GY676" s="25"/>
      <c r="GZ676" s="26"/>
      <c r="HA676" s="26">
        <v>58</v>
      </c>
      <c r="HB676" s="26"/>
      <c r="HC676" s="65"/>
      <c r="HD676" s="26"/>
      <c r="HE676" s="26"/>
      <c r="HF676" s="26"/>
      <c r="HG676" s="26"/>
      <c r="HH676" s="65"/>
      <c r="HI676" s="26"/>
      <c r="HJ676" s="26"/>
      <c r="HK676" s="25"/>
      <c r="HL676" s="25"/>
    </row>
    <row r="677" spans="1:220" ht="15.75" customHeight="1" x14ac:dyDescent="0.2">
      <c r="A677" s="75">
        <v>43693.770138888889</v>
      </c>
      <c r="B677" s="26">
        <v>590411</v>
      </c>
      <c r="C677" s="72">
        <v>50</v>
      </c>
      <c r="D677" s="86" t="s">
        <v>718</v>
      </c>
      <c r="E677" s="32">
        <f t="shared" si="20"/>
        <v>0</v>
      </c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  <c r="FJ677" s="25"/>
      <c r="FK677" s="25"/>
      <c r="FL677" s="25"/>
      <c r="FM677" s="25"/>
      <c r="FN677" s="25"/>
      <c r="FO677" s="25"/>
      <c r="FP677" s="25"/>
      <c r="FQ677" s="25"/>
      <c r="FR677" s="25"/>
      <c r="FS677" s="25"/>
      <c r="FT677" s="25"/>
      <c r="FU677" s="25"/>
      <c r="FV677" s="28"/>
      <c r="FW677" s="28"/>
      <c r="FX677" s="28"/>
      <c r="FY677" s="26"/>
      <c r="FZ677" s="26"/>
      <c r="GA677" s="26"/>
      <c r="GB677" s="26"/>
      <c r="GC677" s="26"/>
      <c r="GD677" s="26"/>
      <c r="GE677" s="26"/>
      <c r="GF677" s="26"/>
      <c r="GG677" s="26"/>
      <c r="GH677" s="26"/>
      <c r="GI677" s="26"/>
      <c r="GJ677" s="26"/>
      <c r="GK677" s="26"/>
      <c r="GL677" s="65"/>
      <c r="GM677" s="26"/>
      <c r="GN677" s="26"/>
      <c r="GO677" s="26"/>
      <c r="GP677" s="26"/>
      <c r="GQ677" s="26"/>
      <c r="GR677" s="26"/>
      <c r="GS677" s="64"/>
      <c r="GT677" s="26"/>
      <c r="GU677" s="26"/>
      <c r="GV677" s="26"/>
      <c r="GW677" s="26"/>
      <c r="GX677" s="64"/>
      <c r="GY677" s="26"/>
      <c r="GZ677" s="26"/>
      <c r="HA677" s="26"/>
      <c r="HB677" s="26">
        <v>50</v>
      </c>
      <c r="HC677" s="65"/>
      <c r="HD677" s="26"/>
      <c r="HE677" s="26"/>
      <c r="HF677" s="26"/>
      <c r="HG677" s="26"/>
      <c r="HH677" s="65"/>
      <c r="HI677" s="26"/>
      <c r="HJ677" s="26"/>
      <c r="HK677" s="25"/>
      <c r="HL677" s="25"/>
    </row>
    <row r="678" spans="1:220" ht="15.75" customHeight="1" x14ac:dyDescent="0.2">
      <c r="A678" s="75">
        <v>43693.086805555555</v>
      </c>
      <c r="B678" s="26">
        <v>590323</v>
      </c>
      <c r="C678" s="72">
        <v>70</v>
      </c>
      <c r="D678" s="86" t="s">
        <v>719</v>
      </c>
      <c r="E678" s="32">
        <f t="shared" si="20"/>
        <v>0</v>
      </c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  <c r="FJ678" s="25"/>
      <c r="FK678" s="25"/>
      <c r="FL678" s="25"/>
      <c r="FM678" s="25"/>
      <c r="FN678" s="25"/>
      <c r="FO678" s="25"/>
      <c r="FP678" s="25"/>
      <c r="FQ678" s="25"/>
      <c r="FR678" s="25"/>
      <c r="FS678" s="25"/>
      <c r="FT678" s="25"/>
      <c r="FU678" s="25"/>
      <c r="FV678" s="28"/>
      <c r="FW678" s="28"/>
      <c r="FX678" s="28"/>
      <c r="FY678" s="26"/>
      <c r="FZ678" s="26"/>
      <c r="GA678" s="26"/>
      <c r="GB678" s="26"/>
      <c r="GC678" s="26"/>
      <c r="GD678" s="26"/>
      <c r="GE678" s="26"/>
      <c r="GF678" s="26"/>
      <c r="GG678" s="26"/>
      <c r="GH678" s="26"/>
      <c r="GI678" s="26"/>
      <c r="GJ678" s="26"/>
      <c r="GK678" s="26"/>
      <c r="GL678" s="65"/>
      <c r="GM678" s="26"/>
      <c r="GN678" s="26"/>
      <c r="GO678" s="26"/>
      <c r="GP678" s="26"/>
      <c r="GQ678" s="26"/>
      <c r="GR678" s="26"/>
      <c r="GS678" s="64"/>
      <c r="GT678" s="26"/>
      <c r="GU678" s="26"/>
      <c r="GV678" s="26"/>
      <c r="GW678" s="26"/>
      <c r="GX678" s="64"/>
      <c r="GY678" s="26"/>
      <c r="GZ678" s="26"/>
      <c r="HA678" s="26"/>
      <c r="HB678" s="26">
        <v>70</v>
      </c>
      <c r="HC678" s="65"/>
      <c r="HD678" s="26"/>
      <c r="HE678" s="26"/>
      <c r="HF678" s="26"/>
      <c r="HG678" s="26"/>
      <c r="HH678" s="65"/>
      <c r="HI678" s="26"/>
      <c r="HJ678" s="26"/>
      <c r="HK678" s="25"/>
      <c r="HL678" s="25"/>
    </row>
    <row r="679" spans="1:220" ht="15.75" customHeight="1" x14ac:dyDescent="0.2">
      <c r="A679" s="75">
        <v>43691.293055555558</v>
      </c>
      <c r="B679" s="26">
        <v>590035</v>
      </c>
      <c r="C679" s="72">
        <v>30</v>
      </c>
      <c r="D679" s="86" t="s">
        <v>720</v>
      </c>
      <c r="E679" s="32">
        <f t="shared" si="20"/>
        <v>0</v>
      </c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  <c r="FJ679" s="25"/>
      <c r="FK679" s="25"/>
      <c r="FL679" s="25"/>
      <c r="FM679" s="25"/>
      <c r="FN679" s="25"/>
      <c r="FO679" s="25"/>
      <c r="FP679" s="25"/>
      <c r="FQ679" s="25"/>
      <c r="FR679" s="25"/>
      <c r="FS679" s="25"/>
      <c r="FT679" s="25"/>
      <c r="FU679" s="25"/>
      <c r="FV679" s="28"/>
      <c r="FW679" s="28"/>
      <c r="FX679" s="28"/>
      <c r="FY679" s="26"/>
      <c r="FZ679" s="26"/>
      <c r="GA679" s="26"/>
      <c r="GB679" s="26"/>
      <c r="GC679" s="26"/>
      <c r="GD679" s="26"/>
      <c r="GE679" s="26"/>
      <c r="GF679" s="26"/>
      <c r="GG679" s="26"/>
      <c r="GH679" s="26"/>
      <c r="GI679" s="26"/>
      <c r="GJ679" s="26"/>
      <c r="GK679" s="26"/>
      <c r="GL679" s="65"/>
      <c r="GM679" s="26"/>
      <c r="GN679" s="26"/>
      <c r="GO679" s="26"/>
      <c r="GP679" s="26"/>
      <c r="GQ679" s="26"/>
      <c r="GR679" s="26"/>
      <c r="GS679" s="64"/>
      <c r="GT679" s="26"/>
      <c r="GU679" s="26"/>
      <c r="GV679" s="26"/>
      <c r="GW679" s="26"/>
      <c r="GX679" s="64"/>
      <c r="GY679" s="26"/>
      <c r="GZ679" s="26"/>
      <c r="HA679" s="26"/>
      <c r="HB679" s="26"/>
      <c r="HC679" s="65"/>
      <c r="HD679" s="26">
        <v>30</v>
      </c>
      <c r="HE679" s="26"/>
      <c r="HF679" s="26"/>
      <c r="HG679" s="26"/>
      <c r="HH679" s="65"/>
      <c r="HI679" s="26"/>
      <c r="HJ679" s="26"/>
      <c r="HK679" s="25"/>
      <c r="HL679" s="25"/>
    </row>
    <row r="680" spans="1:220" ht="15.75" customHeight="1" x14ac:dyDescent="0.2">
      <c r="A680" s="74">
        <v>43690.08834490741</v>
      </c>
      <c r="B680" s="26">
        <v>589856</v>
      </c>
      <c r="C680" s="72">
        <v>79.150000000000006</v>
      </c>
      <c r="D680" s="86" t="s">
        <v>721</v>
      </c>
      <c r="E680" s="32">
        <f t="shared" si="20"/>
        <v>0</v>
      </c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  <c r="FJ680" s="25"/>
      <c r="FK680" s="25"/>
      <c r="FL680" s="25"/>
      <c r="FM680" s="25"/>
      <c r="FN680" s="25"/>
      <c r="FO680" s="25"/>
      <c r="FP680" s="25"/>
      <c r="FQ680" s="25"/>
      <c r="FR680" s="25"/>
      <c r="FS680" s="25"/>
      <c r="FT680" s="25"/>
      <c r="FU680" s="25"/>
      <c r="FV680" s="28"/>
      <c r="FW680" s="28"/>
      <c r="FX680" s="28"/>
      <c r="FY680" s="26"/>
      <c r="FZ680" s="26"/>
      <c r="GA680" s="26"/>
      <c r="GB680" s="26"/>
      <c r="GC680" s="26"/>
      <c r="GD680" s="26"/>
      <c r="GE680" s="26"/>
      <c r="GF680" s="26"/>
      <c r="GG680" s="26"/>
      <c r="GH680" s="26"/>
      <c r="GI680" s="26"/>
      <c r="GJ680" s="26"/>
      <c r="GK680" s="26"/>
      <c r="GL680" s="65"/>
      <c r="GM680" s="26"/>
      <c r="GN680" s="26"/>
      <c r="GO680" s="26"/>
      <c r="GP680" s="26"/>
      <c r="GQ680" s="26"/>
      <c r="GR680" s="26"/>
      <c r="GS680" s="64"/>
      <c r="GT680" s="26"/>
      <c r="GU680" s="26"/>
      <c r="GV680" s="26"/>
      <c r="GW680" s="26"/>
      <c r="GX680" s="64"/>
      <c r="GY680" s="26"/>
      <c r="GZ680" s="26"/>
      <c r="HA680" s="26"/>
      <c r="HB680" s="26"/>
      <c r="HC680" s="65"/>
      <c r="HD680" s="26"/>
      <c r="HE680" s="26">
        <v>79.150000000000006</v>
      </c>
      <c r="HF680" s="26"/>
      <c r="HG680" s="26"/>
      <c r="HH680" s="65"/>
      <c r="HI680" s="26"/>
      <c r="HJ680" s="26"/>
      <c r="HK680" s="25"/>
      <c r="HL680" s="25"/>
    </row>
    <row r="681" spans="1:220" ht="15.75" customHeight="1" x14ac:dyDescent="0.2">
      <c r="A681" s="58">
        <v>43686.959548611114</v>
      </c>
      <c r="B681" s="32">
        <v>589392</v>
      </c>
      <c r="C681" s="26">
        <v>44.963999999999999</v>
      </c>
      <c r="D681" s="86" t="s">
        <v>722</v>
      </c>
      <c r="E681" s="32">
        <f t="shared" si="20"/>
        <v>-0.13600000000000279</v>
      </c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  <c r="FJ681" s="25"/>
      <c r="FK681" s="25"/>
      <c r="FL681" s="25"/>
      <c r="FM681" s="25"/>
      <c r="FN681" s="25"/>
      <c r="FO681" s="25"/>
      <c r="FP681" s="25"/>
      <c r="FQ681" s="25"/>
      <c r="FR681" s="25"/>
      <c r="FS681" s="25"/>
      <c r="FT681" s="25"/>
      <c r="FU681" s="25"/>
      <c r="FV681" s="27"/>
      <c r="FW681" s="27"/>
      <c r="FX681" s="27"/>
      <c r="FY681" s="25"/>
      <c r="FZ681" s="25"/>
      <c r="GA681" s="25"/>
      <c r="GB681" s="25"/>
      <c r="GC681" s="25"/>
      <c r="GD681" s="25"/>
      <c r="GE681" s="25"/>
      <c r="GF681" s="25"/>
      <c r="GG681" s="25"/>
      <c r="GH681" s="25"/>
      <c r="GI681" s="25"/>
      <c r="GJ681" s="25"/>
      <c r="GK681" s="25"/>
      <c r="GL681" s="65"/>
      <c r="GM681" s="25"/>
      <c r="GN681" s="25"/>
      <c r="GO681" s="25"/>
      <c r="GP681" s="25"/>
      <c r="GQ681" s="25"/>
      <c r="GR681" s="25"/>
      <c r="GS681" s="64"/>
      <c r="GT681" s="25"/>
      <c r="GU681" s="25"/>
      <c r="GV681" s="25"/>
      <c r="GW681" s="25"/>
      <c r="GX681" s="64"/>
      <c r="GY681" s="25"/>
      <c r="GZ681" s="25"/>
      <c r="HA681" s="25"/>
      <c r="HB681" s="25"/>
      <c r="HC681" s="65"/>
      <c r="HD681" s="25"/>
      <c r="HE681" s="25"/>
      <c r="HF681" s="25"/>
      <c r="HG681" s="25"/>
      <c r="HH681" s="26">
        <v>24.9</v>
      </c>
      <c r="HI681" s="26">
        <v>10.1</v>
      </c>
      <c r="HJ681" s="26">
        <v>10.1</v>
      </c>
      <c r="HK681" s="25"/>
      <c r="HL681" s="25"/>
    </row>
    <row r="682" spans="1:220" ht="15.75" customHeight="1" x14ac:dyDescent="0.2">
      <c r="A682" s="58">
        <v>43689.115925925929</v>
      </c>
      <c r="B682" s="32">
        <v>589724</v>
      </c>
      <c r="C682" s="26">
        <v>51.238</v>
      </c>
      <c r="D682" s="86" t="s">
        <v>723</v>
      </c>
      <c r="E682" s="32">
        <f t="shared" si="20"/>
        <v>0</v>
      </c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  <c r="FJ682" s="25"/>
      <c r="FK682" s="25"/>
      <c r="FL682" s="25"/>
      <c r="FM682" s="25"/>
      <c r="FN682" s="25"/>
      <c r="FO682" s="25"/>
      <c r="FP682" s="25"/>
      <c r="FQ682" s="25"/>
      <c r="FR682" s="25"/>
      <c r="FS682" s="25"/>
      <c r="FT682" s="25"/>
      <c r="FU682" s="25"/>
      <c r="FV682" s="77"/>
      <c r="FW682" s="28"/>
      <c r="FX682" s="28"/>
      <c r="FY682" s="26"/>
      <c r="FZ682" s="26"/>
      <c r="GA682" s="26"/>
      <c r="GB682" s="26"/>
      <c r="GC682" s="26"/>
      <c r="GD682" s="26"/>
      <c r="GE682" s="26"/>
      <c r="GF682" s="26"/>
      <c r="GG682" s="26"/>
      <c r="GH682" s="26"/>
      <c r="GI682" s="26"/>
      <c r="GJ682" s="26"/>
      <c r="GK682" s="26"/>
      <c r="GL682" s="65"/>
      <c r="GM682" s="26"/>
      <c r="GN682" s="26"/>
      <c r="GO682" s="26"/>
      <c r="GP682" s="26"/>
      <c r="GQ682" s="26"/>
      <c r="GR682" s="26"/>
      <c r="GS682" s="64"/>
      <c r="GT682" s="26"/>
      <c r="GU682" s="26"/>
      <c r="GV682" s="26"/>
      <c r="GW682" s="26"/>
      <c r="GX682" s="64"/>
      <c r="GY682" s="26"/>
      <c r="GZ682" s="26"/>
      <c r="HA682" s="26"/>
      <c r="HB682" s="26"/>
      <c r="HC682" s="65"/>
      <c r="HD682" s="26"/>
      <c r="HE682" s="26"/>
      <c r="HF682" s="26"/>
      <c r="HG682" s="26"/>
      <c r="HH682" s="26">
        <v>51.238</v>
      </c>
      <c r="HI682" s="26"/>
      <c r="HJ682" s="26"/>
      <c r="HK682" s="25"/>
      <c r="HL682" s="25"/>
    </row>
    <row r="683" spans="1:220" ht="15.75" customHeight="1" x14ac:dyDescent="0.2">
      <c r="A683" s="58">
        <v>43689.115925925929</v>
      </c>
      <c r="B683" s="32">
        <v>589724</v>
      </c>
      <c r="C683" s="26">
        <v>47.68</v>
      </c>
      <c r="D683" s="86" t="s">
        <v>724</v>
      </c>
      <c r="E683" s="32">
        <f t="shared" si="20"/>
        <v>0</v>
      </c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  <c r="FJ683" s="25"/>
      <c r="FK683" s="25"/>
      <c r="FL683" s="25"/>
      <c r="FM683" s="25"/>
      <c r="FN683" s="25"/>
      <c r="FO683" s="25"/>
      <c r="FP683" s="25"/>
      <c r="FQ683" s="25"/>
      <c r="FR683" s="25"/>
      <c r="FS683" s="25"/>
      <c r="FT683" s="25"/>
      <c r="FU683" s="25"/>
      <c r="FV683" s="77"/>
      <c r="FW683" s="28"/>
      <c r="FX683" s="28"/>
      <c r="FY683" s="26"/>
      <c r="FZ683" s="26"/>
      <c r="GA683" s="26"/>
      <c r="GB683" s="26"/>
      <c r="GC683" s="26"/>
      <c r="GD683" s="26"/>
      <c r="GE683" s="26"/>
      <c r="GF683" s="26"/>
      <c r="GG683" s="26"/>
      <c r="GH683" s="26"/>
      <c r="GI683" s="26"/>
      <c r="GJ683" s="26"/>
      <c r="GK683" s="26"/>
      <c r="GL683" s="65"/>
      <c r="GM683" s="26"/>
      <c r="GN683" s="26"/>
      <c r="GO683" s="26"/>
      <c r="GP683" s="26"/>
      <c r="GQ683" s="26"/>
      <c r="GR683" s="26"/>
      <c r="GS683" s="64"/>
      <c r="GT683" s="26"/>
      <c r="GU683" s="26"/>
      <c r="GV683" s="26"/>
      <c r="GW683" s="26"/>
      <c r="GX683" s="64"/>
      <c r="GY683" s="26"/>
      <c r="GZ683" s="26"/>
      <c r="HA683" s="26"/>
      <c r="HB683" s="26"/>
      <c r="HC683" s="65"/>
      <c r="HD683" s="26"/>
      <c r="HE683" s="26"/>
      <c r="HF683" s="26"/>
      <c r="HG683" s="26"/>
      <c r="HH683" s="26">
        <v>47.68</v>
      </c>
      <c r="HI683" s="26"/>
      <c r="HJ683" s="26"/>
      <c r="HK683" s="25"/>
      <c r="HL683" s="25"/>
    </row>
    <row r="684" spans="1:220" ht="15.75" customHeight="1" x14ac:dyDescent="0.2">
      <c r="A684" s="58">
        <v>43689.476967592593</v>
      </c>
      <c r="B684" s="32">
        <v>589769</v>
      </c>
      <c r="C684" s="26">
        <v>90</v>
      </c>
      <c r="D684" s="86" t="s">
        <v>725</v>
      </c>
      <c r="E684" s="32">
        <f t="shared" si="20"/>
        <v>0</v>
      </c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  <c r="FJ684" s="25"/>
      <c r="FK684" s="25"/>
      <c r="FL684" s="25"/>
      <c r="FM684" s="25"/>
      <c r="FN684" s="25"/>
      <c r="FO684" s="25"/>
      <c r="FP684" s="25"/>
      <c r="FQ684" s="25"/>
      <c r="FR684" s="25"/>
      <c r="FS684" s="25"/>
      <c r="FT684" s="25"/>
      <c r="FU684" s="25"/>
      <c r="FV684" s="77"/>
      <c r="FW684" s="28"/>
      <c r="FX684" s="28"/>
      <c r="FY684" s="26"/>
      <c r="FZ684" s="26"/>
      <c r="GA684" s="26"/>
      <c r="GB684" s="26"/>
      <c r="GC684" s="26"/>
      <c r="GD684" s="26"/>
      <c r="GE684" s="26"/>
      <c r="GF684" s="26"/>
      <c r="GG684" s="26"/>
      <c r="GH684" s="26"/>
      <c r="GI684" s="26"/>
      <c r="GJ684" s="26"/>
      <c r="GK684" s="26"/>
      <c r="GL684" s="65"/>
      <c r="GM684" s="26"/>
      <c r="GN684" s="26"/>
      <c r="GO684" s="26"/>
      <c r="GP684" s="26"/>
      <c r="GQ684" s="26"/>
      <c r="GR684" s="26"/>
      <c r="GS684" s="64"/>
      <c r="GT684" s="26"/>
      <c r="GU684" s="26"/>
      <c r="GV684" s="26"/>
      <c r="GW684" s="26"/>
      <c r="GX684" s="64"/>
      <c r="GY684" s="26"/>
      <c r="GZ684" s="26"/>
      <c r="HA684" s="26"/>
      <c r="HB684" s="26"/>
      <c r="HC684" s="65"/>
      <c r="HD684" s="26"/>
      <c r="HE684" s="26"/>
      <c r="HF684" s="26"/>
      <c r="HG684" s="26"/>
      <c r="HH684" s="26">
        <v>90</v>
      </c>
      <c r="HI684" s="26"/>
      <c r="HJ684" s="26"/>
      <c r="HK684" s="25"/>
      <c r="HL684" s="25"/>
    </row>
    <row r="685" spans="1:220" ht="15.75" customHeight="1" x14ac:dyDescent="0.2">
      <c r="A685" s="58">
        <v>43689.558136574073</v>
      </c>
      <c r="B685" s="32">
        <v>589786</v>
      </c>
      <c r="C685" s="26">
        <v>48.04</v>
      </c>
      <c r="D685" s="86" t="s">
        <v>726</v>
      </c>
      <c r="E685" s="32">
        <f t="shared" si="20"/>
        <v>0</v>
      </c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  <c r="FJ685" s="25"/>
      <c r="FK685" s="25"/>
      <c r="FL685" s="25"/>
      <c r="FM685" s="25"/>
      <c r="FN685" s="25"/>
      <c r="FO685" s="25"/>
      <c r="FP685" s="25"/>
      <c r="FQ685" s="25"/>
      <c r="FR685" s="25"/>
      <c r="FS685" s="25"/>
      <c r="FT685" s="25"/>
      <c r="FU685" s="25"/>
      <c r="FV685" s="77"/>
      <c r="FW685" s="28"/>
      <c r="FX685" s="28"/>
      <c r="FY685" s="26"/>
      <c r="FZ685" s="26"/>
      <c r="GA685" s="26"/>
      <c r="GB685" s="26"/>
      <c r="GC685" s="26"/>
      <c r="GD685" s="26"/>
      <c r="GE685" s="26"/>
      <c r="GF685" s="26"/>
      <c r="GG685" s="26"/>
      <c r="GH685" s="26"/>
      <c r="GI685" s="26"/>
      <c r="GJ685" s="26"/>
      <c r="GK685" s="26"/>
      <c r="GL685" s="65"/>
      <c r="GM685" s="26"/>
      <c r="GN685" s="26"/>
      <c r="GO685" s="26"/>
      <c r="GP685" s="26"/>
      <c r="GQ685" s="26"/>
      <c r="GR685" s="26"/>
      <c r="GS685" s="64"/>
      <c r="GT685" s="26"/>
      <c r="GU685" s="26"/>
      <c r="GV685" s="26"/>
      <c r="GW685" s="26"/>
      <c r="GX685" s="64"/>
      <c r="GY685" s="26"/>
      <c r="GZ685" s="26"/>
      <c r="HA685" s="26"/>
      <c r="HB685" s="26"/>
      <c r="HC685" s="65"/>
      <c r="HD685" s="26"/>
      <c r="HE685" s="26"/>
      <c r="HF685" s="26">
        <v>48.04</v>
      </c>
      <c r="HG685" s="26"/>
      <c r="HH685" s="65"/>
      <c r="HI685" s="26"/>
      <c r="HJ685" s="26"/>
      <c r="HK685" s="25"/>
      <c r="HL685" s="25"/>
    </row>
    <row r="686" spans="1:220" ht="15.75" customHeight="1" x14ac:dyDescent="0.2">
      <c r="A686" s="58">
        <v>43689.110462962963</v>
      </c>
      <c r="B686" s="32">
        <v>589723</v>
      </c>
      <c r="C686" s="26">
        <v>47.222999999999999</v>
      </c>
      <c r="D686" s="86" t="s">
        <v>727</v>
      </c>
      <c r="E686" s="32">
        <f t="shared" si="20"/>
        <v>0</v>
      </c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  <c r="FJ686" s="25"/>
      <c r="FK686" s="25"/>
      <c r="FL686" s="25"/>
      <c r="FM686" s="25"/>
      <c r="FN686" s="25"/>
      <c r="FO686" s="25"/>
      <c r="FP686" s="25"/>
      <c r="FQ686" s="25"/>
      <c r="FR686" s="25"/>
      <c r="FS686" s="25"/>
      <c r="FT686" s="25"/>
      <c r="FU686" s="25"/>
      <c r="FV686" s="77"/>
      <c r="FW686" s="28"/>
      <c r="FX686" s="28"/>
      <c r="FY686" s="26"/>
      <c r="FZ686" s="26"/>
      <c r="GA686" s="26"/>
      <c r="GB686" s="26"/>
      <c r="GC686" s="26"/>
      <c r="GD686" s="26"/>
      <c r="GE686" s="26"/>
      <c r="GF686" s="26"/>
      <c r="GG686" s="26"/>
      <c r="GH686" s="26"/>
      <c r="GI686" s="26"/>
      <c r="GJ686" s="26"/>
      <c r="GK686" s="26"/>
      <c r="GL686" s="65"/>
      <c r="GM686" s="26"/>
      <c r="GN686" s="26"/>
      <c r="GO686" s="26"/>
      <c r="GP686" s="26"/>
      <c r="GQ686" s="26"/>
      <c r="GR686" s="26"/>
      <c r="GS686" s="64"/>
      <c r="GT686" s="26"/>
      <c r="GU686" s="26"/>
      <c r="GV686" s="26"/>
      <c r="GW686" s="26"/>
      <c r="GX686" s="64"/>
      <c r="GY686" s="26"/>
      <c r="GZ686" s="26"/>
      <c r="HA686" s="26"/>
      <c r="HB686" s="26"/>
      <c r="HC686" s="65"/>
      <c r="HD686" s="26"/>
      <c r="HE686" s="26"/>
      <c r="HF686" s="26">
        <v>47.222999999999999</v>
      </c>
      <c r="HG686" s="26"/>
      <c r="HH686" s="65"/>
      <c r="HI686" s="26"/>
      <c r="HJ686" s="26"/>
      <c r="HK686" s="25"/>
      <c r="HL686" s="25"/>
    </row>
    <row r="687" spans="1:220" ht="15.75" customHeight="1" x14ac:dyDescent="0.2">
      <c r="A687" s="58">
        <v>43692.229421296295</v>
      </c>
      <c r="B687" s="32">
        <v>590182</v>
      </c>
      <c r="C687" s="26">
        <v>53.65</v>
      </c>
      <c r="D687" s="86" t="s">
        <v>728</v>
      </c>
      <c r="E687" s="32">
        <f t="shared" si="20"/>
        <v>3.0000000000001137E-2</v>
      </c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  <c r="FJ687" s="25"/>
      <c r="FK687" s="25"/>
      <c r="FL687" s="25"/>
      <c r="FM687" s="25"/>
      <c r="FN687" s="25"/>
      <c r="FO687" s="25"/>
      <c r="FP687" s="25"/>
      <c r="FQ687" s="25"/>
      <c r="FR687" s="25"/>
      <c r="FS687" s="25"/>
      <c r="FT687" s="25"/>
      <c r="FU687" s="25"/>
      <c r="FV687" s="77"/>
      <c r="FW687" s="28"/>
      <c r="FX687" s="28"/>
      <c r="FY687" s="26"/>
      <c r="FZ687" s="26"/>
      <c r="GA687" s="26"/>
      <c r="GB687" s="26"/>
      <c r="GC687" s="26"/>
      <c r="GD687" s="26"/>
      <c r="GE687" s="26"/>
      <c r="GF687" s="26"/>
      <c r="GG687" s="26"/>
      <c r="GH687" s="26"/>
      <c r="GI687" s="26"/>
      <c r="GJ687" s="26"/>
      <c r="GK687" s="26"/>
      <c r="GL687" s="65"/>
      <c r="GM687" s="26"/>
      <c r="GN687" s="26"/>
      <c r="GO687" s="26"/>
      <c r="GP687" s="26"/>
      <c r="GQ687" s="26"/>
      <c r="GR687" s="26"/>
      <c r="GS687" s="64"/>
      <c r="GT687" s="26"/>
      <c r="GU687" s="26"/>
      <c r="GV687" s="26"/>
      <c r="GW687" s="26"/>
      <c r="GX687" s="64"/>
      <c r="GY687" s="26">
        <v>43.62</v>
      </c>
      <c r="GZ687" s="26"/>
      <c r="HA687" s="26"/>
      <c r="HB687" s="26"/>
      <c r="HC687" s="65">
        <v>10</v>
      </c>
      <c r="HD687" s="26"/>
      <c r="HE687" s="26"/>
      <c r="HF687" s="26"/>
      <c r="HG687" s="26"/>
      <c r="HH687" s="65"/>
      <c r="HI687" s="26"/>
      <c r="HJ687" s="26"/>
      <c r="HK687" s="25"/>
      <c r="HL687" s="25"/>
    </row>
    <row r="688" spans="1:220" ht="15.75" customHeight="1" x14ac:dyDescent="0.2">
      <c r="A688" s="58">
        <v>43699.586770833332</v>
      </c>
      <c r="B688" s="32">
        <v>591239</v>
      </c>
      <c r="C688" s="26">
        <v>60</v>
      </c>
      <c r="D688" s="86" t="s">
        <v>729</v>
      </c>
      <c r="E688" s="32">
        <f t="shared" si="20"/>
        <v>0</v>
      </c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  <c r="FJ688" s="25"/>
      <c r="FK688" s="25"/>
      <c r="FL688" s="25"/>
      <c r="FM688" s="25"/>
      <c r="FN688" s="25"/>
      <c r="FO688" s="25"/>
      <c r="FP688" s="25"/>
      <c r="FQ688" s="25"/>
      <c r="FR688" s="25"/>
      <c r="FS688" s="25"/>
      <c r="FT688" s="25"/>
      <c r="FU688" s="25"/>
      <c r="FV688" s="77"/>
      <c r="FW688" s="28"/>
      <c r="FX688" s="28"/>
      <c r="FY688" s="26"/>
      <c r="FZ688" s="26"/>
      <c r="GA688" s="26"/>
      <c r="GB688" s="26"/>
      <c r="GC688" s="26"/>
      <c r="GD688" s="26"/>
      <c r="GE688" s="26"/>
      <c r="GF688" s="26"/>
      <c r="GG688" s="26"/>
      <c r="GH688" s="26"/>
      <c r="GI688" s="26"/>
      <c r="GJ688" s="26"/>
      <c r="GK688" s="26"/>
      <c r="GL688" s="65"/>
      <c r="GM688" s="26"/>
      <c r="GN688" s="26"/>
      <c r="GO688" s="26"/>
      <c r="GP688" s="26"/>
      <c r="GQ688" s="26"/>
      <c r="GR688" s="26"/>
      <c r="GS688" s="64"/>
      <c r="GT688" s="26"/>
      <c r="GU688" s="26"/>
      <c r="GV688" s="26">
        <v>60</v>
      </c>
      <c r="GW688" s="26"/>
      <c r="GX688" s="64"/>
      <c r="GY688" s="26"/>
      <c r="GZ688" s="26"/>
      <c r="HA688" s="26"/>
      <c r="HB688" s="26"/>
      <c r="HC688" s="65"/>
      <c r="HD688" s="26"/>
      <c r="HE688" s="26"/>
      <c r="HF688" s="26"/>
      <c r="HG688" s="26"/>
      <c r="HH688" s="65"/>
      <c r="HI688" s="26"/>
      <c r="HJ688" s="26"/>
      <c r="HK688" s="25"/>
      <c r="HL688" s="25"/>
    </row>
    <row r="689" spans="1:220" ht="15.75" customHeight="1" x14ac:dyDescent="0.2">
      <c r="A689" s="58">
        <v>43699.451539351852</v>
      </c>
      <c r="B689" s="32">
        <v>591222</v>
      </c>
      <c r="C689" s="26">
        <v>40</v>
      </c>
      <c r="D689" s="86" t="s">
        <v>730</v>
      </c>
      <c r="E689" s="32">
        <f t="shared" si="20"/>
        <v>0</v>
      </c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  <c r="FJ689" s="25"/>
      <c r="FK689" s="25"/>
      <c r="FL689" s="25"/>
      <c r="FM689" s="25"/>
      <c r="FN689" s="25"/>
      <c r="FO689" s="25"/>
      <c r="FP689" s="25"/>
      <c r="FQ689" s="25"/>
      <c r="FR689" s="25"/>
      <c r="FS689" s="25"/>
      <c r="FT689" s="25"/>
      <c r="FU689" s="25"/>
      <c r="FV689" s="77"/>
      <c r="FW689" s="28"/>
      <c r="FX689" s="28"/>
      <c r="FY689" s="26"/>
      <c r="FZ689" s="26"/>
      <c r="GA689" s="26"/>
      <c r="GB689" s="26"/>
      <c r="GC689" s="26"/>
      <c r="GD689" s="26"/>
      <c r="GE689" s="26"/>
      <c r="GF689" s="26"/>
      <c r="GG689" s="26"/>
      <c r="GH689" s="26"/>
      <c r="GI689" s="26"/>
      <c r="GJ689" s="26"/>
      <c r="GK689" s="26"/>
      <c r="GL689" s="65"/>
      <c r="GM689" s="26"/>
      <c r="GN689" s="26"/>
      <c r="GO689" s="26"/>
      <c r="GP689" s="26"/>
      <c r="GQ689" s="26"/>
      <c r="GR689" s="26"/>
      <c r="GS689" s="64"/>
      <c r="GT689" s="26"/>
      <c r="GU689" s="26"/>
      <c r="GV689" s="26">
        <v>40</v>
      </c>
      <c r="GW689" s="26"/>
      <c r="GX689" s="64"/>
      <c r="GY689" s="26"/>
      <c r="GZ689" s="26"/>
      <c r="HA689" s="26"/>
      <c r="HB689" s="26"/>
      <c r="HC689" s="65"/>
      <c r="HD689" s="26"/>
      <c r="HE689" s="26"/>
      <c r="HF689" s="26"/>
      <c r="HG689" s="26"/>
      <c r="HH689" s="65"/>
      <c r="HI689" s="26"/>
      <c r="HJ689" s="26"/>
      <c r="HK689" s="25"/>
      <c r="HL689" s="25"/>
    </row>
    <row r="690" spans="1:220" ht="15.75" customHeight="1" x14ac:dyDescent="0.2">
      <c r="A690" s="58">
        <v>43695.121562499997</v>
      </c>
      <c r="B690" s="32">
        <v>590600</v>
      </c>
      <c r="C690" s="26">
        <v>58</v>
      </c>
      <c r="D690" s="86" t="s">
        <v>731</v>
      </c>
      <c r="E690" s="32">
        <f t="shared" si="20"/>
        <v>0</v>
      </c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  <c r="FJ690" s="25"/>
      <c r="FK690" s="25"/>
      <c r="FL690" s="25"/>
      <c r="FM690" s="25"/>
      <c r="FN690" s="25"/>
      <c r="FO690" s="25"/>
      <c r="FP690" s="25"/>
      <c r="FQ690" s="25"/>
      <c r="FR690" s="25"/>
      <c r="FS690" s="25"/>
      <c r="FT690" s="25"/>
      <c r="FU690" s="25"/>
      <c r="FV690" s="77"/>
      <c r="FW690" s="28"/>
      <c r="FX690" s="28"/>
      <c r="FY690" s="26"/>
      <c r="FZ690" s="26"/>
      <c r="GA690" s="26"/>
      <c r="GB690" s="26"/>
      <c r="GC690" s="26"/>
      <c r="GD690" s="26"/>
      <c r="GE690" s="26"/>
      <c r="GF690" s="26"/>
      <c r="GG690" s="26"/>
      <c r="GH690" s="26"/>
      <c r="GI690" s="26"/>
      <c r="GJ690" s="26"/>
      <c r="GK690" s="26"/>
      <c r="GL690" s="65"/>
      <c r="GM690" s="26"/>
      <c r="GN690" s="26"/>
      <c r="GO690" s="26"/>
      <c r="GP690" s="26"/>
      <c r="GQ690" s="26"/>
      <c r="GR690" s="26"/>
      <c r="GS690" s="64"/>
      <c r="GT690" s="26"/>
      <c r="GU690" s="26"/>
      <c r="GV690" s="26"/>
      <c r="GW690" s="26"/>
      <c r="GX690" s="64"/>
      <c r="GY690" s="26"/>
      <c r="GZ690" s="26">
        <v>58</v>
      </c>
      <c r="HA690" s="26"/>
      <c r="HB690" s="26"/>
      <c r="HC690" s="65"/>
      <c r="HD690" s="26"/>
      <c r="HE690" s="26"/>
      <c r="HF690" s="26"/>
      <c r="HG690" s="26"/>
      <c r="HH690" s="65"/>
      <c r="HI690" s="26"/>
      <c r="HJ690" s="26"/>
      <c r="HK690" s="25"/>
      <c r="HL690" s="25"/>
    </row>
    <row r="691" spans="1:220" ht="15.75" customHeight="1" x14ac:dyDescent="0.2">
      <c r="A691" s="58">
        <v>43693.058668981481</v>
      </c>
      <c r="B691" s="32">
        <v>509322</v>
      </c>
      <c r="C691" s="26">
        <v>100</v>
      </c>
      <c r="D691" s="86" t="s">
        <v>732</v>
      </c>
      <c r="E691" s="32">
        <f t="shared" si="20"/>
        <v>0</v>
      </c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  <c r="FJ691" s="25"/>
      <c r="FK691" s="25"/>
      <c r="FL691" s="25"/>
      <c r="FM691" s="25"/>
      <c r="FN691" s="25"/>
      <c r="FO691" s="25"/>
      <c r="FP691" s="25"/>
      <c r="FQ691" s="25"/>
      <c r="FR691" s="25"/>
      <c r="FS691" s="25"/>
      <c r="FT691" s="25"/>
      <c r="FU691" s="25"/>
      <c r="FV691" s="77"/>
      <c r="FW691" s="28"/>
      <c r="FX691" s="28"/>
      <c r="FY691" s="26"/>
      <c r="FZ691" s="26"/>
      <c r="GA691" s="26"/>
      <c r="GB691" s="26"/>
      <c r="GC691" s="26"/>
      <c r="GD691" s="26"/>
      <c r="GE691" s="26"/>
      <c r="GF691" s="26"/>
      <c r="GG691" s="26"/>
      <c r="GH691" s="26"/>
      <c r="GI691" s="26"/>
      <c r="GJ691" s="26"/>
      <c r="GK691" s="26"/>
      <c r="GL691" s="65"/>
      <c r="GM691" s="26"/>
      <c r="GN691" s="26"/>
      <c r="GO691" s="26"/>
      <c r="GP691" s="26"/>
      <c r="GQ691" s="26"/>
      <c r="GR691" s="26"/>
      <c r="GS691" s="64"/>
      <c r="GT691" s="26"/>
      <c r="GU691" s="26"/>
      <c r="GV691" s="26"/>
      <c r="GW691" s="26"/>
      <c r="GX691" s="64"/>
      <c r="GY691" s="26"/>
      <c r="GZ691" s="26"/>
      <c r="HA691" s="26"/>
      <c r="HB691" s="26">
        <v>100</v>
      </c>
      <c r="HC691" s="65"/>
      <c r="HD691" s="26"/>
      <c r="HE691" s="26"/>
      <c r="HF691" s="26"/>
      <c r="HG691" s="26"/>
      <c r="HH691" s="65"/>
      <c r="HI691" s="26"/>
      <c r="HJ691" s="26"/>
      <c r="HK691" s="25"/>
      <c r="HL691" s="25"/>
    </row>
    <row r="692" spans="1:220" ht="15.75" customHeight="1" x14ac:dyDescent="0.2">
      <c r="A692" s="58">
        <v>43696.289652777778</v>
      </c>
      <c r="B692" s="32">
        <v>590771</v>
      </c>
      <c r="C692" s="26">
        <v>50</v>
      </c>
      <c r="D692" s="86" t="s">
        <v>733</v>
      </c>
      <c r="E692" s="32">
        <f t="shared" si="20"/>
        <v>0</v>
      </c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  <c r="FJ692" s="25"/>
      <c r="FK692" s="25"/>
      <c r="FL692" s="25"/>
      <c r="FM692" s="25"/>
      <c r="FN692" s="25"/>
      <c r="FO692" s="25"/>
      <c r="FP692" s="25"/>
      <c r="FQ692" s="25"/>
      <c r="FR692" s="25"/>
      <c r="FS692" s="25"/>
      <c r="FT692" s="25"/>
      <c r="FU692" s="25"/>
      <c r="FV692" s="77"/>
      <c r="FW692" s="28"/>
      <c r="FX692" s="28"/>
      <c r="FY692" s="26"/>
      <c r="FZ692" s="26"/>
      <c r="GA692" s="26"/>
      <c r="GB692" s="26"/>
      <c r="GC692" s="26"/>
      <c r="GD692" s="26"/>
      <c r="GE692" s="26"/>
      <c r="GF692" s="26"/>
      <c r="GG692" s="26"/>
      <c r="GH692" s="26"/>
      <c r="GI692" s="26"/>
      <c r="GJ692" s="26"/>
      <c r="GK692" s="26"/>
      <c r="GL692" s="65"/>
      <c r="GM692" s="26"/>
      <c r="GN692" s="26"/>
      <c r="GO692" s="26"/>
      <c r="GP692" s="26"/>
      <c r="GQ692" s="26"/>
      <c r="GR692" s="26"/>
      <c r="GS692" s="64"/>
      <c r="GT692" s="26"/>
      <c r="GU692" s="26"/>
      <c r="GV692" s="26"/>
      <c r="GW692" s="26"/>
      <c r="GX692" s="64"/>
      <c r="GY692" s="26">
        <v>50</v>
      </c>
      <c r="GZ692" s="26"/>
      <c r="HA692" s="26"/>
      <c r="HB692" s="26"/>
      <c r="HC692" s="65"/>
      <c r="HD692" s="26"/>
      <c r="HE692" s="26"/>
      <c r="HF692" s="26"/>
      <c r="HG692" s="26"/>
      <c r="HH692" s="65"/>
      <c r="HI692" s="26"/>
      <c r="HJ692" s="26"/>
      <c r="HK692" s="25"/>
      <c r="HL692" s="25"/>
    </row>
    <row r="693" spans="1:220" ht="15.75" customHeight="1" x14ac:dyDescent="0.2">
      <c r="A693" s="58">
        <v>43693.289756944447</v>
      </c>
      <c r="B693" s="26">
        <v>590355</v>
      </c>
      <c r="C693" s="26">
        <v>100</v>
      </c>
      <c r="D693" s="86" t="s">
        <v>734</v>
      </c>
      <c r="E693" s="32">
        <f t="shared" si="20"/>
        <v>0</v>
      </c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  <c r="FJ693" s="25"/>
      <c r="FK693" s="25"/>
      <c r="FL693" s="25"/>
      <c r="FM693" s="25"/>
      <c r="FN693" s="25"/>
      <c r="FO693" s="25"/>
      <c r="FP693" s="25"/>
      <c r="FQ693" s="25"/>
      <c r="FR693" s="25"/>
      <c r="FS693" s="25"/>
      <c r="FT693" s="25"/>
      <c r="FU693" s="25"/>
      <c r="FV693" s="77"/>
      <c r="FW693" s="28"/>
      <c r="FX693" s="28"/>
      <c r="FY693" s="26"/>
      <c r="FZ693" s="26"/>
      <c r="GA693" s="26"/>
      <c r="GB693" s="26"/>
      <c r="GC693" s="26"/>
      <c r="GD693" s="26"/>
      <c r="GE693" s="26"/>
      <c r="GF693" s="26"/>
      <c r="GG693" s="26"/>
      <c r="GH693" s="26"/>
      <c r="GI693" s="26"/>
      <c r="GJ693" s="26"/>
      <c r="GK693" s="26"/>
      <c r="GL693" s="65"/>
      <c r="GM693" s="26"/>
      <c r="GN693" s="26"/>
      <c r="GO693" s="26"/>
      <c r="GP693" s="26"/>
      <c r="GQ693" s="26"/>
      <c r="GR693" s="26"/>
      <c r="GS693" s="64"/>
      <c r="GT693" s="26"/>
      <c r="GU693" s="26"/>
      <c r="GV693" s="26"/>
      <c r="GW693" s="26"/>
      <c r="GX693" s="64"/>
      <c r="GY693" s="26"/>
      <c r="GZ693" s="26"/>
      <c r="HA693" s="26"/>
      <c r="HB693" s="26">
        <v>100</v>
      </c>
      <c r="HC693" s="65"/>
      <c r="HD693" s="26"/>
      <c r="HE693" s="26"/>
      <c r="HF693" s="26"/>
      <c r="HG693" s="26"/>
      <c r="HH693" s="65"/>
      <c r="HI693" s="26"/>
      <c r="HJ693" s="26"/>
      <c r="HK693" s="25"/>
      <c r="HL693" s="25"/>
    </row>
    <row r="694" spans="1:220" ht="15.75" customHeight="1" x14ac:dyDescent="0.2">
      <c r="A694" s="58">
        <v>43692.288715277777</v>
      </c>
      <c r="B694" s="32">
        <v>590194</v>
      </c>
      <c r="C694" s="26">
        <v>45</v>
      </c>
      <c r="D694" s="86" t="s">
        <v>735</v>
      </c>
      <c r="E694" s="32">
        <f t="shared" si="20"/>
        <v>0</v>
      </c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  <c r="FJ694" s="25"/>
      <c r="FK694" s="25"/>
      <c r="FL694" s="25"/>
      <c r="FM694" s="25"/>
      <c r="FN694" s="25"/>
      <c r="FO694" s="25"/>
      <c r="FP694" s="25"/>
      <c r="FQ694" s="25"/>
      <c r="FR694" s="25"/>
      <c r="FS694" s="25"/>
      <c r="FT694" s="25"/>
      <c r="FU694" s="25"/>
      <c r="FV694" s="77"/>
      <c r="FW694" s="28"/>
      <c r="FX694" s="28"/>
      <c r="FY694" s="26"/>
      <c r="FZ694" s="26"/>
      <c r="GA694" s="26"/>
      <c r="GB694" s="26"/>
      <c r="GC694" s="26"/>
      <c r="GD694" s="26"/>
      <c r="GE694" s="26"/>
      <c r="GF694" s="26"/>
      <c r="GG694" s="26"/>
      <c r="GH694" s="26"/>
      <c r="GI694" s="26"/>
      <c r="GJ694" s="26"/>
      <c r="GK694" s="26"/>
      <c r="GL694" s="65"/>
      <c r="GM694" s="26"/>
      <c r="GN694" s="26"/>
      <c r="GO694" s="26"/>
      <c r="GP694" s="26"/>
      <c r="GQ694" s="26"/>
      <c r="GR694" s="26"/>
      <c r="GS694" s="64"/>
      <c r="GT694" s="26"/>
      <c r="GU694" s="26"/>
      <c r="GV694" s="26"/>
      <c r="GW694" s="26"/>
      <c r="GX694" s="64"/>
      <c r="GY694" s="26"/>
      <c r="GZ694" s="26"/>
      <c r="HA694" s="26">
        <v>45</v>
      </c>
      <c r="HB694" s="26"/>
      <c r="HC694" s="65"/>
      <c r="HD694" s="26"/>
      <c r="HE694" s="26"/>
      <c r="HF694" s="26"/>
      <c r="HG694" s="26"/>
      <c r="HH694" s="65"/>
      <c r="HI694" s="26"/>
      <c r="HJ694" s="26"/>
      <c r="HK694" s="25"/>
      <c r="HL694" s="25"/>
    </row>
    <row r="695" spans="1:220" ht="15.75" customHeight="1" x14ac:dyDescent="0.2">
      <c r="A695" s="58">
        <v>43696.253310185188</v>
      </c>
      <c r="B695" s="32">
        <v>590766</v>
      </c>
      <c r="C695" s="26">
        <v>70</v>
      </c>
      <c r="D695" s="86" t="s">
        <v>736</v>
      </c>
      <c r="E695" s="32">
        <f t="shared" si="20"/>
        <v>0</v>
      </c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  <c r="FJ695" s="25"/>
      <c r="FK695" s="25"/>
      <c r="FL695" s="25"/>
      <c r="FM695" s="25"/>
      <c r="FN695" s="25"/>
      <c r="FO695" s="25"/>
      <c r="FP695" s="25"/>
      <c r="FQ695" s="25"/>
      <c r="FR695" s="25"/>
      <c r="FS695" s="25"/>
      <c r="FT695" s="25"/>
      <c r="FU695" s="25"/>
      <c r="FV695" s="77"/>
      <c r="FW695" s="28"/>
      <c r="FX695" s="28"/>
      <c r="FY695" s="26"/>
      <c r="FZ695" s="26"/>
      <c r="GA695" s="26"/>
      <c r="GB695" s="26"/>
      <c r="GC695" s="26"/>
      <c r="GD695" s="26"/>
      <c r="GE695" s="26"/>
      <c r="GF695" s="26"/>
      <c r="GG695" s="26"/>
      <c r="GH695" s="26"/>
      <c r="GI695" s="26"/>
      <c r="GJ695" s="26"/>
      <c r="GK695" s="26"/>
      <c r="GL695" s="65"/>
      <c r="GM695" s="26"/>
      <c r="GN695" s="26"/>
      <c r="GO695" s="26"/>
      <c r="GP695" s="26"/>
      <c r="GQ695" s="26"/>
      <c r="GR695" s="26"/>
      <c r="GS695" s="64"/>
      <c r="GT695" s="26"/>
      <c r="GU695" s="26"/>
      <c r="GV695" s="26"/>
      <c r="GW695" s="26"/>
      <c r="GX695" s="64"/>
      <c r="GY695" s="26">
        <v>70</v>
      </c>
      <c r="GZ695" s="26"/>
      <c r="HA695" s="25"/>
      <c r="HB695" s="25"/>
      <c r="HC695" s="65"/>
      <c r="HD695" s="26"/>
      <c r="HE695" s="26"/>
      <c r="HF695" s="26"/>
      <c r="HG695" s="26"/>
      <c r="HH695" s="65"/>
      <c r="HI695" s="26"/>
      <c r="HJ695" s="26"/>
      <c r="HK695" s="25"/>
      <c r="HL695" s="25"/>
    </row>
    <row r="696" spans="1:220" ht="15.75" customHeight="1" x14ac:dyDescent="0.2">
      <c r="A696" s="58">
        <v>43696.068749999999</v>
      </c>
      <c r="B696" s="32">
        <v>590721</v>
      </c>
      <c r="C696" s="26">
        <v>90</v>
      </c>
      <c r="D696" s="86" t="s">
        <v>737</v>
      </c>
      <c r="E696" s="32">
        <f t="shared" si="20"/>
        <v>0</v>
      </c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  <c r="FJ696" s="25"/>
      <c r="FK696" s="25"/>
      <c r="FL696" s="25"/>
      <c r="FM696" s="25"/>
      <c r="FN696" s="25"/>
      <c r="FO696" s="25"/>
      <c r="FP696" s="25"/>
      <c r="FQ696" s="25"/>
      <c r="FR696" s="25"/>
      <c r="FS696" s="25"/>
      <c r="FT696" s="25"/>
      <c r="FU696" s="25"/>
      <c r="FV696" s="77"/>
      <c r="FW696" s="28"/>
      <c r="FX696" s="28"/>
      <c r="FY696" s="26"/>
      <c r="FZ696" s="26"/>
      <c r="GA696" s="26"/>
      <c r="GB696" s="26"/>
      <c r="GC696" s="26"/>
      <c r="GD696" s="26"/>
      <c r="GE696" s="26"/>
      <c r="GF696" s="26"/>
      <c r="GG696" s="26"/>
      <c r="GH696" s="26"/>
      <c r="GI696" s="26"/>
      <c r="GJ696" s="26"/>
      <c r="GK696" s="26"/>
      <c r="GL696" s="65"/>
      <c r="GM696" s="26"/>
      <c r="GN696" s="26"/>
      <c r="GO696" s="26"/>
      <c r="GP696" s="26"/>
      <c r="GQ696" s="26"/>
      <c r="GR696" s="26"/>
      <c r="GS696" s="64"/>
      <c r="GT696" s="26"/>
      <c r="GU696" s="26"/>
      <c r="GV696" s="26"/>
      <c r="GW696" s="26"/>
      <c r="GX696" s="64"/>
      <c r="GY696" s="26">
        <v>90</v>
      </c>
      <c r="GZ696" s="26"/>
      <c r="HA696" s="26"/>
      <c r="HB696" s="26"/>
      <c r="HC696" s="65"/>
      <c r="HD696" s="26"/>
      <c r="HE696" s="26"/>
      <c r="HF696" s="26"/>
      <c r="HG696" s="26"/>
      <c r="HH696" s="65"/>
      <c r="HI696" s="26"/>
      <c r="HJ696" s="26"/>
      <c r="HK696" s="25"/>
      <c r="HL696" s="25"/>
    </row>
    <row r="697" spans="1:220" ht="15.75" customHeight="1" x14ac:dyDescent="0.2">
      <c r="A697" s="58">
        <v>43699.200474537036</v>
      </c>
      <c r="B697" s="32">
        <v>591188</v>
      </c>
      <c r="C697" s="26">
        <v>60</v>
      </c>
      <c r="D697" s="86" t="s">
        <v>738</v>
      </c>
      <c r="E697" s="32">
        <f t="shared" si="20"/>
        <v>0</v>
      </c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  <c r="FJ697" s="25"/>
      <c r="FK697" s="25"/>
      <c r="FL697" s="25"/>
      <c r="FM697" s="25"/>
      <c r="FN697" s="25"/>
      <c r="FO697" s="25"/>
      <c r="FP697" s="25"/>
      <c r="FQ697" s="25"/>
      <c r="FR697" s="25"/>
      <c r="FS697" s="25"/>
      <c r="FT697" s="25"/>
      <c r="FU697" s="25"/>
      <c r="FV697" s="77"/>
      <c r="FW697" s="28"/>
      <c r="FX697" s="28"/>
      <c r="FY697" s="26"/>
      <c r="FZ697" s="26"/>
      <c r="GA697" s="26"/>
      <c r="GB697" s="26"/>
      <c r="GC697" s="26"/>
      <c r="GD697" s="26"/>
      <c r="GE697" s="26"/>
      <c r="GF697" s="26"/>
      <c r="GG697" s="26"/>
      <c r="GH697" s="26"/>
      <c r="GI697" s="26"/>
      <c r="GJ697" s="26"/>
      <c r="GK697" s="26"/>
      <c r="GL697" s="65"/>
      <c r="GM697" s="26"/>
      <c r="GN697" s="26"/>
      <c r="GO697" s="26"/>
      <c r="GP697" s="26"/>
      <c r="GQ697" s="26"/>
      <c r="GR697" s="26"/>
      <c r="GS697" s="64"/>
      <c r="GT697" s="26"/>
      <c r="GU697" s="26"/>
      <c r="GV697" s="26">
        <v>60</v>
      </c>
      <c r="GW697" s="26"/>
      <c r="GX697" s="64"/>
      <c r="GY697" s="26"/>
      <c r="GZ697" s="26"/>
      <c r="HA697" s="26"/>
      <c r="HB697" s="26"/>
      <c r="HC697" s="65"/>
      <c r="HD697" s="26"/>
      <c r="HE697" s="26"/>
      <c r="HF697" s="26"/>
      <c r="HG697" s="26"/>
      <c r="HH697" s="65"/>
      <c r="HI697" s="26"/>
      <c r="HJ697" s="26"/>
      <c r="HK697" s="25"/>
      <c r="HL697" s="25"/>
    </row>
    <row r="698" spans="1:220" ht="15.75" customHeight="1" x14ac:dyDescent="0.2">
      <c r="A698" s="58">
        <v>43696.34202546296</v>
      </c>
      <c r="B698" s="32">
        <v>590775</v>
      </c>
      <c r="C698" s="26">
        <v>30</v>
      </c>
      <c r="D698" s="86" t="s">
        <v>739</v>
      </c>
      <c r="E698" s="32">
        <f t="shared" si="20"/>
        <v>0</v>
      </c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  <c r="FJ698" s="25"/>
      <c r="FK698" s="25"/>
      <c r="FL698" s="25"/>
      <c r="FM698" s="25"/>
      <c r="FN698" s="25"/>
      <c r="FO698" s="25"/>
      <c r="FP698" s="25"/>
      <c r="FQ698" s="25"/>
      <c r="FR698" s="25"/>
      <c r="FS698" s="25"/>
      <c r="FT698" s="25"/>
      <c r="FU698" s="25"/>
      <c r="FV698" s="77"/>
      <c r="FW698" s="28"/>
      <c r="FX698" s="28"/>
      <c r="FY698" s="26"/>
      <c r="FZ698" s="26"/>
      <c r="GA698" s="26"/>
      <c r="GB698" s="26"/>
      <c r="GC698" s="26"/>
      <c r="GD698" s="26"/>
      <c r="GE698" s="26"/>
      <c r="GF698" s="26"/>
      <c r="GG698" s="26"/>
      <c r="GH698" s="26"/>
      <c r="GI698" s="26"/>
      <c r="GJ698" s="26"/>
      <c r="GK698" s="26"/>
      <c r="GL698" s="65"/>
      <c r="GM698" s="26"/>
      <c r="GN698" s="26"/>
      <c r="GO698" s="26"/>
      <c r="GP698" s="26"/>
      <c r="GQ698" s="26"/>
      <c r="GR698" s="26"/>
      <c r="GS698" s="64"/>
      <c r="GT698" s="26"/>
      <c r="GU698" s="26"/>
      <c r="GV698" s="26"/>
      <c r="GW698" s="26"/>
      <c r="GX698" s="64"/>
      <c r="GY698" s="26">
        <v>30</v>
      </c>
      <c r="GZ698" s="26"/>
      <c r="HA698" s="26"/>
      <c r="HB698" s="26"/>
      <c r="HC698" s="65"/>
      <c r="HD698" s="26"/>
      <c r="HE698" s="26"/>
      <c r="HF698" s="26"/>
      <c r="HG698" s="26"/>
      <c r="HH698" s="65"/>
      <c r="HI698" s="26"/>
      <c r="HJ698" s="26"/>
      <c r="HK698" s="25"/>
      <c r="HL698" s="25"/>
    </row>
    <row r="699" spans="1:220" ht="15.75" customHeight="1" x14ac:dyDescent="0.2">
      <c r="A699" s="58">
        <v>43694.623298611114</v>
      </c>
      <c r="B699" s="32">
        <v>590526</v>
      </c>
      <c r="C699" s="26">
        <v>68</v>
      </c>
      <c r="D699" s="86" t="s">
        <v>740</v>
      </c>
      <c r="E699" s="32">
        <f t="shared" si="20"/>
        <v>0</v>
      </c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  <c r="FJ699" s="25"/>
      <c r="FK699" s="25"/>
      <c r="FL699" s="25"/>
      <c r="FM699" s="25"/>
      <c r="FN699" s="25"/>
      <c r="FO699" s="25"/>
      <c r="FP699" s="25"/>
      <c r="FQ699" s="25"/>
      <c r="FR699" s="25"/>
      <c r="FS699" s="25"/>
      <c r="FT699" s="25"/>
      <c r="FU699" s="25"/>
      <c r="FV699" s="77"/>
      <c r="FW699" s="28"/>
      <c r="FX699" s="28"/>
      <c r="FY699" s="26"/>
      <c r="FZ699" s="26"/>
      <c r="GA699" s="26"/>
      <c r="GB699" s="26"/>
      <c r="GC699" s="26"/>
      <c r="GD699" s="26"/>
      <c r="GE699" s="26"/>
      <c r="GF699" s="26"/>
      <c r="GG699" s="26"/>
      <c r="GH699" s="26"/>
      <c r="GI699" s="26"/>
      <c r="GJ699" s="26"/>
      <c r="GK699" s="26"/>
      <c r="GL699" s="65"/>
      <c r="GM699" s="26"/>
      <c r="GN699" s="26"/>
      <c r="GO699" s="26"/>
      <c r="GP699" s="26"/>
      <c r="GQ699" s="26"/>
      <c r="GR699" s="26"/>
      <c r="GS699" s="64"/>
      <c r="GT699" s="26"/>
      <c r="GU699" s="26"/>
      <c r="GV699" s="26"/>
      <c r="GW699" s="26"/>
      <c r="GX699" s="64"/>
      <c r="GY699" s="26"/>
      <c r="GZ699" s="26"/>
      <c r="HA699" s="26">
        <v>68</v>
      </c>
      <c r="HB699" s="26"/>
      <c r="HC699" s="65"/>
      <c r="HD699" s="26"/>
      <c r="HE699" s="26"/>
      <c r="HF699" s="26"/>
      <c r="HG699" s="26"/>
      <c r="HH699" s="65"/>
      <c r="HI699" s="26"/>
      <c r="HJ699" s="26"/>
      <c r="HK699" s="25"/>
      <c r="HL699" s="25"/>
    </row>
    <row r="700" spans="1:220" ht="15.75" customHeight="1" x14ac:dyDescent="0.2">
      <c r="A700" s="57">
        <v>43699.364537037036</v>
      </c>
      <c r="B700" s="26">
        <v>591211</v>
      </c>
      <c r="C700" s="72">
        <v>41</v>
      </c>
      <c r="D700" s="86" t="s">
        <v>741</v>
      </c>
      <c r="E700" s="32">
        <f t="shared" si="20"/>
        <v>0</v>
      </c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  <c r="FJ700" s="25"/>
      <c r="FK700" s="25"/>
      <c r="FL700" s="25"/>
      <c r="FM700" s="25"/>
      <c r="FN700" s="25"/>
      <c r="FO700" s="25"/>
      <c r="FP700" s="25"/>
      <c r="FQ700" s="25"/>
      <c r="FR700" s="25"/>
      <c r="FS700" s="25"/>
      <c r="FT700" s="25"/>
      <c r="FU700" s="25"/>
      <c r="FV700" s="28"/>
      <c r="FW700" s="28"/>
      <c r="FX700" s="28"/>
      <c r="FY700" s="26"/>
      <c r="FZ700" s="26"/>
      <c r="GA700" s="26"/>
      <c r="GB700" s="26"/>
      <c r="GC700" s="26"/>
      <c r="GD700" s="26"/>
      <c r="GE700" s="26"/>
      <c r="GF700" s="26"/>
      <c r="GG700" s="26"/>
      <c r="GH700" s="26"/>
      <c r="GI700" s="26"/>
      <c r="GJ700" s="26"/>
      <c r="GK700" s="26"/>
      <c r="GL700" s="65"/>
      <c r="GM700" s="26"/>
      <c r="GN700" s="26"/>
      <c r="GO700" s="26"/>
      <c r="GP700" s="26"/>
      <c r="GQ700" s="26"/>
      <c r="GR700" s="26"/>
      <c r="GS700" s="64"/>
      <c r="GT700" s="26"/>
      <c r="GU700" s="26"/>
      <c r="GV700" s="26">
        <v>41</v>
      </c>
      <c r="GW700" s="26"/>
      <c r="GX700" s="64"/>
      <c r="GY700" s="26"/>
      <c r="GZ700" s="26"/>
      <c r="HA700" s="26"/>
      <c r="HB700" s="26"/>
      <c r="HC700" s="65"/>
      <c r="HD700" s="26"/>
      <c r="HE700" s="26"/>
      <c r="HF700" s="26"/>
      <c r="HG700" s="26"/>
      <c r="HH700" s="65"/>
      <c r="HI700" s="26"/>
      <c r="HJ700" s="26"/>
      <c r="HK700" s="25"/>
      <c r="HL700" s="25"/>
    </row>
    <row r="701" spans="1:220" ht="15.75" customHeight="1" x14ac:dyDescent="0.2">
      <c r="A701" s="75">
        <v>43697.08053240741</v>
      </c>
      <c r="B701" s="26">
        <v>590884</v>
      </c>
      <c r="C701" s="72">
        <v>20</v>
      </c>
      <c r="D701" s="86" t="s">
        <v>742</v>
      </c>
      <c r="E701" s="32">
        <f t="shared" ref="E701:E764" si="21">C701-SUM(AN701:HK701)</f>
        <v>0</v>
      </c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  <c r="FJ701" s="25"/>
      <c r="FK701" s="25"/>
      <c r="FL701" s="25"/>
      <c r="FM701" s="25"/>
      <c r="FN701" s="25"/>
      <c r="FO701" s="25"/>
      <c r="FP701" s="25"/>
      <c r="FQ701" s="25"/>
      <c r="FR701" s="25"/>
      <c r="FS701" s="25"/>
      <c r="FT701" s="25"/>
      <c r="FU701" s="25"/>
      <c r="FV701" s="28"/>
      <c r="FW701" s="28"/>
      <c r="FX701" s="28"/>
      <c r="FY701" s="26"/>
      <c r="FZ701" s="26"/>
      <c r="GA701" s="26"/>
      <c r="GB701" s="26"/>
      <c r="GC701" s="26"/>
      <c r="GD701" s="26"/>
      <c r="GE701" s="26"/>
      <c r="GF701" s="26"/>
      <c r="GG701" s="26"/>
      <c r="GH701" s="26"/>
      <c r="GI701" s="26"/>
      <c r="GJ701" s="26"/>
      <c r="GK701" s="26"/>
      <c r="GL701" s="65"/>
      <c r="GM701" s="26"/>
      <c r="GN701" s="26"/>
      <c r="GO701" s="26"/>
      <c r="GP701" s="26"/>
      <c r="GQ701" s="26"/>
      <c r="GR701" s="26"/>
      <c r="GS701" s="64"/>
      <c r="GT701" s="26"/>
      <c r="GU701" s="26"/>
      <c r="GV701" s="26"/>
      <c r="GW701" s="26"/>
      <c r="GX701" s="64">
        <v>20</v>
      </c>
      <c r="GY701" s="26"/>
      <c r="GZ701" s="26"/>
      <c r="HA701" s="26"/>
      <c r="HB701" s="26"/>
      <c r="HC701" s="65"/>
      <c r="HD701" s="26"/>
      <c r="HE701" s="26"/>
      <c r="HF701" s="26"/>
      <c r="HG701" s="26"/>
      <c r="HH701" s="65"/>
      <c r="HI701" s="26"/>
      <c r="HJ701" s="26"/>
      <c r="HK701" s="25"/>
      <c r="HL701" s="25"/>
    </row>
    <row r="702" spans="1:220" ht="15.75" customHeight="1" x14ac:dyDescent="0.2">
      <c r="A702" s="75">
        <v>43696.399375000001</v>
      </c>
      <c r="B702" s="26">
        <v>590779</v>
      </c>
      <c r="C702" s="72">
        <v>85</v>
      </c>
      <c r="D702" s="86" t="s">
        <v>743</v>
      </c>
      <c r="E702" s="32">
        <f t="shared" si="21"/>
        <v>0</v>
      </c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  <c r="FJ702" s="25"/>
      <c r="FK702" s="25"/>
      <c r="FL702" s="25"/>
      <c r="FM702" s="25"/>
      <c r="FN702" s="25"/>
      <c r="FO702" s="25"/>
      <c r="FP702" s="25"/>
      <c r="FQ702" s="25"/>
      <c r="FR702" s="25"/>
      <c r="FS702" s="25"/>
      <c r="FT702" s="25"/>
      <c r="FU702" s="25"/>
      <c r="FV702" s="28"/>
      <c r="FW702" s="28"/>
      <c r="FX702" s="28"/>
      <c r="FY702" s="26"/>
      <c r="FZ702" s="26"/>
      <c r="GA702" s="26"/>
      <c r="GB702" s="26"/>
      <c r="GC702" s="26"/>
      <c r="GD702" s="26"/>
      <c r="GE702" s="26"/>
      <c r="GF702" s="26"/>
      <c r="GG702" s="26"/>
      <c r="GH702" s="26"/>
      <c r="GI702" s="26"/>
      <c r="GJ702" s="26"/>
      <c r="GK702" s="26"/>
      <c r="GL702" s="65"/>
      <c r="GM702" s="26"/>
      <c r="GN702" s="26"/>
      <c r="GO702" s="26"/>
      <c r="GP702" s="26"/>
      <c r="GQ702" s="26"/>
      <c r="GR702" s="26"/>
      <c r="GS702" s="64"/>
      <c r="GT702" s="26"/>
      <c r="GU702" s="26"/>
      <c r="GV702" s="26"/>
      <c r="GW702" s="26"/>
      <c r="GX702" s="64"/>
      <c r="GY702" s="26">
        <v>85</v>
      </c>
      <c r="GZ702" s="26"/>
      <c r="HA702" s="26"/>
      <c r="HB702" s="26"/>
      <c r="HC702" s="65"/>
      <c r="HD702" s="26"/>
      <c r="HE702" s="26"/>
      <c r="HF702" s="26"/>
      <c r="HG702" s="26"/>
      <c r="HH702" s="65"/>
      <c r="HI702" s="26"/>
      <c r="HJ702" s="26"/>
      <c r="HK702" s="25"/>
      <c r="HL702" s="25"/>
    </row>
    <row r="703" spans="1:220" ht="15.75" customHeight="1" x14ac:dyDescent="0.2">
      <c r="A703" s="75">
        <v>43691.474502314813</v>
      </c>
      <c r="B703" s="26">
        <v>590063</v>
      </c>
      <c r="C703" s="72">
        <v>50</v>
      </c>
      <c r="D703" s="86" t="s">
        <v>744</v>
      </c>
      <c r="E703" s="32">
        <f t="shared" si="21"/>
        <v>0</v>
      </c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  <c r="FJ703" s="25"/>
      <c r="FK703" s="25"/>
      <c r="FL703" s="25"/>
      <c r="FM703" s="25"/>
      <c r="FN703" s="25"/>
      <c r="FO703" s="25"/>
      <c r="FP703" s="25"/>
      <c r="FQ703" s="25"/>
      <c r="FR703" s="25"/>
      <c r="FS703" s="25"/>
      <c r="FT703" s="25"/>
      <c r="FU703" s="25"/>
      <c r="FV703" s="28"/>
      <c r="FW703" s="28"/>
      <c r="FX703" s="28"/>
      <c r="FY703" s="26"/>
      <c r="FZ703" s="26"/>
      <c r="GA703" s="26"/>
      <c r="GB703" s="26"/>
      <c r="GC703" s="26"/>
      <c r="GD703" s="26"/>
      <c r="GE703" s="26"/>
      <c r="GF703" s="26"/>
      <c r="GG703" s="26"/>
      <c r="GH703" s="26"/>
      <c r="GI703" s="26"/>
      <c r="GJ703" s="26"/>
      <c r="GK703" s="26"/>
      <c r="GL703" s="65"/>
      <c r="GM703" s="26"/>
      <c r="GN703" s="26"/>
      <c r="GO703" s="26"/>
      <c r="GP703" s="26"/>
      <c r="GQ703" s="26"/>
      <c r="GR703" s="26"/>
      <c r="GS703" s="64"/>
      <c r="GT703" s="26"/>
      <c r="GU703" s="26"/>
      <c r="GV703" s="26"/>
      <c r="GW703" s="26"/>
      <c r="GX703" s="64"/>
      <c r="GY703" s="26"/>
      <c r="GZ703" s="26"/>
      <c r="HA703" s="26"/>
      <c r="HB703" s="26"/>
      <c r="HC703" s="65"/>
      <c r="HD703" s="26">
        <v>50</v>
      </c>
      <c r="HE703" s="26"/>
      <c r="HF703" s="26"/>
      <c r="HG703" s="26"/>
      <c r="HH703" s="65"/>
      <c r="HI703" s="26"/>
      <c r="HJ703" s="26"/>
      <c r="HK703" s="25"/>
      <c r="HL703" s="25"/>
    </row>
    <row r="704" spans="1:220" ht="15.75" customHeight="1" x14ac:dyDescent="0.2">
      <c r="A704" s="58">
        <v>43696.619641203702</v>
      </c>
      <c r="B704" s="32">
        <v>590812</v>
      </c>
      <c r="C704" s="26">
        <v>60</v>
      </c>
      <c r="D704" s="86" t="s">
        <v>745</v>
      </c>
      <c r="E704" s="32">
        <f t="shared" si="21"/>
        <v>0</v>
      </c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  <c r="FJ704" s="25"/>
      <c r="FK704" s="25"/>
      <c r="FL704" s="25"/>
      <c r="FM704" s="25"/>
      <c r="FN704" s="25"/>
      <c r="FO704" s="25"/>
      <c r="FP704" s="25"/>
      <c r="FQ704" s="25"/>
      <c r="FR704" s="25"/>
      <c r="FS704" s="25"/>
      <c r="FT704" s="25"/>
      <c r="FU704" s="25"/>
      <c r="FV704" s="77"/>
      <c r="FW704" s="28"/>
      <c r="FX704" s="28"/>
      <c r="FY704" s="26"/>
      <c r="FZ704" s="26"/>
      <c r="GA704" s="26"/>
      <c r="GB704" s="26"/>
      <c r="GC704" s="26"/>
      <c r="GD704" s="26"/>
      <c r="GE704" s="26"/>
      <c r="GF704" s="26"/>
      <c r="GG704" s="26"/>
      <c r="GH704" s="26"/>
      <c r="GI704" s="26"/>
      <c r="GJ704" s="26"/>
      <c r="GK704" s="26"/>
      <c r="GL704" s="65"/>
      <c r="GM704" s="26"/>
      <c r="GN704" s="26"/>
      <c r="GO704" s="26"/>
      <c r="GP704" s="26"/>
      <c r="GQ704" s="26"/>
      <c r="GR704" s="26"/>
      <c r="GS704" s="64"/>
      <c r="GT704" s="26"/>
      <c r="GU704" s="26"/>
      <c r="GV704" s="26"/>
      <c r="GW704" s="26"/>
      <c r="GX704" s="64"/>
      <c r="GY704" s="26">
        <v>60</v>
      </c>
      <c r="GZ704" s="26"/>
      <c r="HA704" s="26"/>
      <c r="HB704" s="26"/>
      <c r="HC704" s="65"/>
      <c r="HD704" s="26"/>
      <c r="HE704" s="26"/>
      <c r="HF704" s="26"/>
      <c r="HG704" s="26"/>
      <c r="HH704" s="65"/>
      <c r="HI704" s="26"/>
      <c r="HJ704" s="26"/>
      <c r="HK704" s="25"/>
      <c r="HL704" s="25"/>
    </row>
    <row r="705" spans="1:220" ht="15.75" customHeight="1" x14ac:dyDescent="0.2">
      <c r="A705" s="58">
        <v>43700.058912037035</v>
      </c>
      <c r="B705" s="32">
        <v>591309</v>
      </c>
      <c r="C705" s="26">
        <v>61</v>
      </c>
      <c r="D705" s="86" t="s">
        <v>746</v>
      </c>
      <c r="E705" s="32">
        <f t="shared" si="21"/>
        <v>0</v>
      </c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  <c r="FJ705" s="25"/>
      <c r="FK705" s="25"/>
      <c r="FL705" s="25"/>
      <c r="FM705" s="25"/>
      <c r="FN705" s="25"/>
      <c r="FO705" s="25"/>
      <c r="FP705" s="25"/>
      <c r="FQ705" s="25"/>
      <c r="FR705" s="25"/>
      <c r="FS705" s="25"/>
      <c r="FT705" s="25"/>
      <c r="FU705" s="25"/>
      <c r="FV705" s="77"/>
      <c r="FW705" s="28"/>
      <c r="FX705" s="28"/>
      <c r="FY705" s="26"/>
      <c r="FZ705" s="26"/>
      <c r="GA705" s="26"/>
      <c r="GB705" s="26"/>
      <c r="GC705" s="26"/>
      <c r="GD705" s="26"/>
      <c r="GE705" s="26"/>
      <c r="GF705" s="26"/>
      <c r="GG705" s="26"/>
      <c r="GH705" s="26"/>
      <c r="GI705" s="26"/>
      <c r="GJ705" s="26"/>
      <c r="GK705" s="26"/>
      <c r="GL705" s="65"/>
      <c r="GM705" s="26"/>
      <c r="GN705" s="26"/>
      <c r="GO705" s="26"/>
      <c r="GP705" s="26"/>
      <c r="GQ705" s="26"/>
      <c r="GR705" s="26"/>
      <c r="GS705" s="64"/>
      <c r="GT705" s="26"/>
      <c r="GU705" s="26">
        <v>61</v>
      </c>
      <c r="GV705" s="26"/>
      <c r="GW705" s="26"/>
      <c r="GX705" s="64"/>
      <c r="GY705" s="26"/>
      <c r="GZ705" s="26"/>
      <c r="HA705" s="26"/>
      <c r="HB705" s="26"/>
      <c r="HC705" s="65"/>
      <c r="HD705" s="26"/>
      <c r="HE705" s="26"/>
      <c r="HF705" s="26"/>
      <c r="HG705" s="26"/>
      <c r="HH705" s="65"/>
      <c r="HI705" s="26"/>
      <c r="HJ705" s="26"/>
      <c r="HK705" s="25"/>
      <c r="HL705" s="25"/>
    </row>
    <row r="706" spans="1:220" ht="15.75" customHeight="1" x14ac:dyDescent="0.2">
      <c r="A706" s="58">
        <v>43699.375034722223</v>
      </c>
      <c r="B706" s="32">
        <v>591213</v>
      </c>
      <c r="C706" s="26">
        <v>50</v>
      </c>
      <c r="D706" s="86" t="s">
        <v>747</v>
      </c>
      <c r="E706" s="32">
        <f t="shared" si="21"/>
        <v>0</v>
      </c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  <c r="FJ706" s="25"/>
      <c r="FK706" s="25"/>
      <c r="FL706" s="25"/>
      <c r="FM706" s="25"/>
      <c r="FN706" s="25"/>
      <c r="FO706" s="25"/>
      <c r="FP706" s="25"/>
      <c r="FQ706" s="25"/>
      <c r="FR706" s="25"/>
      <c r="FS706" s="25"/>
      <c r="FT706" s="25"/>
      <c r="FU706" s="25"/>
      <c r="FV706" s="77"/>
      <c r="FW706" s="28"/>
      <c r="FX706" s="28"/>
      <c r="FY706" s="26"/>
      <c r="FZ706" s="26"/>
      <c r="GA706" s="26"/>
      <c r="GB706" s="26"/>
      <c r="GC706" s="26"/>
      <c r="GD706" s="26"/>
      <c r="GE706" s="26"/>
      <c r="GF706" s="26"/>
      <c r="GG706" s="26"/>
      <c r="GH706" s="26"/>
      <c r="GI706" s="26"/>
      <c r="GJ706" s="26"/>
      <c r="GK706" s="26"/>
      <c r="GL706" s="65"/>
      <c r="GM706" s="26"/>
      <c r="GN706" s="26"/>
      <c r="GO706" s="26"/>
      <c r="GP706" s="26"/>
      <c r="GQ706" s="26"/>
      <c r="GR706" s="26"/>
      <c r="GS706" s="64"/>
      <c r="GT706" s="26"/>
      <c r="GU706" s="26"/>
      <c r="GV706" s="26">
        <v>50</v>
      </c>
      <c r="GW706" s="26"/>
      <c r="GX706" s="64"/>
      <c r="GY706" s="26"/>
      <c r="GZ706" s="26"/>
      <c r="HA706" s="26"/>
      <c r="HB706" s="26"/>
      <c r="HC706" s="65"/>
      <c r="HD706" s="26"/>
      <c r="HE706" s="26"/>
      <c r="HF706" s="26"/>
      <c r="HG706" s="26"/>
      <c r="HH706" s="65"/>
      <c r="HI706" s="26"/>
      <c r="HJ706" s="26"/>
      <c r="HK706" s="25"/>
      <c r="HL706" s="25"/>
    </row>
    <row r="707" spans="1:220" ht="15.75" customHeight="1" x14ac:dyDescent="0.2">
      <c r="A707" s="58">
        <v>43699.41101851852</v>
      </c>
      <c r="B707" s="32">
        <v>591215</v>
      </c>
      <c r="C707" s="26">
        <v>50</v>
      </c>
      <c r="D707" s="86" t="s">
        <v>748</v>
      </c>
      <c r="E707" s="32">
        <f t="shared" si="21"/>
        <v>0</v>
      </c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  <c r="FJ707" s="25"/>
      <c r="FK707" s="25"/>
      <c r="FL707" s="25"/>
      <c r="FM707" s="25"/>
      <c r="FN707" s="25"/>
      <c r="FO707" s="25"/>
      <c r="FP707" s="25"/>
      <c r="FQ707" s="25"/>
      <c r="FR707" s="25"/>
      <c r="FS707" s="25"/>
      <c r="FT707" s="25"/>
      <c r="FU707" s="25"/>
      <c r="FV707" s="77"/>
      <c r="FW707" s="28"/>
      <c r="FX707" s="28"/>
      <c r="FY707" s="26"/>
      <c r="FZ707" s="26"/>
      <c r="GA707" s="26"/>
      <c r="GB707" s="26"/>
      <c r="GC707" s="26"/>
      <c r="GD707" s="26"/>
      <c r="GE707" s="26"/>
      <c r="GF707" s="26"/>
      <c r="GG707" s="26"/>
      <c r="GH707" s="26"/>
      <c r="GI707" s="26"/>
      <c r="GJ707" s="26"/>
      <c r="GK707" s="26"/>
      <c r="GL707" s="65"/>
      <c r="GM707" s="26"/>
      <c r="GN707" s="26"/>
      <c r="GO707" s="26"/>
      <c r="GP707" s="26"/>
      <c r="GQ707" s="26"/>
      <c r="GR707" s="26"/>
      <c r="GS707" s="64"/>
      <c r="GT707" s="26"/>
      <c r="GU707" s="26"/>
      <c r="GV707" s="26">
        <v>50</v>
      </c>
      <c r="GW707" s="26"/>
      <c r="GX707" s="64"/>
      <c r="GY707" s="26"/>
      <c r="GZ707" s="26"/>
      <c r="HA707" s="26"/>
      <c r="HB707" s="26"/>
      <c r="HC707" s="65"/>
      <c r="HD707" s="26"/>
      <c r="HE707" s="26"/>
      <c r="HF707" s="26"/>
      <c r="HG707" s="26"/>
      <c r="HH707" s="65"/>
      <c r="HI707" s="26"/>
      <c r="HJ707" s="26"/>
      <c r="HK707" s="25"/>
      <c r="HL707" s="25"/>
    </row>
    <row r="708" spans="1:220" ht="15.75" customHeight="1" x14ac:dyDescent="0.2">
      <c r="A708" s="58">
        <v>43694.646469907406</v>
      </c>
      <c r="B708" s="32">
        <v>590532</v>
      </c>
      <c r="C708" s="26">
        <v>79</v>
      </c>
      <c r="D708" s="86" t="s">
        <v>749</v>
      </c>
      <c r="E708" s="32">
        <f t="shared" si="21"/>
        <v>0</v>
      </c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  <c r="FJ708" s="25"/>
      <c r="FK708" s="25"/>
      <c r="FL708" s="25"/>
      <c r="FM708" s="25"/>
      <c r="FN708" s="25"/>
      <c r="FO708" s="25"/>
      <c r="FP708" s="25"/>
      <c r="FQ708" s="25"/>
      <c r="FR708" s="25"/>
      <c r="FS708" s="25"/>
      <c r="FT708" s="25"/>
      <c r="FU708" s="25"/>
      <c r="FV708" s="77"/>
      <c r="FW708" s="28"/>
      <c r="FX708" s="28"/>
      <c r="FY708" s="26"/>
      <c r="FZ708" s="26"/>
      <c r="GA708" s="26"/>
      <c r="GB708" s="26"/>
      <c r="GC708" s="26"/>
      <c r="GD708" s="26"/>
      <c r="GE708" s="26"/>
      <c r="GF708" s="26"/>
      <c r="GG708" s="26"/>
      <c r="GH708" s="26"/>
      <c r="GI708" s="26"/>
      <c r="GJ708" s="26"/>
      <c r="GK708" s="26"/>
      <c r="GL708" s="65"/>
      <c r="GM708" s="26"/>
      <c r="GN708" s="26"/>
      <c r="GO708" s="26"/>
      <c r="GP708" s="26"/>
      <c r="GQ708" s="26"/>
      <c r="GR708" s="26"/>
      <c r="GS708" s="64"/>
      <c r="GT708" s="26"/>
      <c r="GU708" s="26"/>
      <c r="GV708" s="26"/>
      <c r="GW708" s="26"/>
      <c r="GX708" s="64"/>
      <c r="GY708" s="26"/>
      <c r="GZ708" s="26"/>
      <c r="HA708" s="26">
        <v>79</v>
      </c>
      <c r="HB708" s="26"/>
      <c r="HC708" s="65"/>
      <c r="HD708" s="26"/>
      <c r="HE708" s="26"/>
      <c r="HF708" s="26"/>
      <c r="HG708" s="26"/>
      <c r="HH708" s="65"/>
      <c r="HI708" s="26"/>
      <c r="HJ708" s="26"/>
      <c r="HK708" s="25"/>
      <c r="HL708" s="25"/>
    </row>
    <row r="709" spans="1:220" ht="15.75" customHeight="1" x14ac:dyDescent="0.2">
      <c r="A709" s="58">
        <v>43695.273368055554</v>
      </c>
      <c r="B709" s="32">
        <v>590620</v>
      </c>
      <c r="C709" s="26">
        <v>22.7</v>
      </c>
      <c r="D709" s="86" t="s">
        <v>750</v>
      </c>
      <c r="E709" s="32">
        <f t="shared" si="21"/>
        <v>0</v>
      </c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  <c r="FJ709" s="25"/>
      <c r="FK709" s="25"/>
      <c r="FL709" s="25"/>
      <c r="FM709" s="25"/>
      <c r="FN709" s="25"/>
      <c r="FO709" s="25"/>
      <c r="FP709" s="25"/>
      <c r="FQ709" s="25"/>
      <c r="FR709" s="25"/>
      <c r="FS709" s="25"/>
      <c r="FT709" s="25"/>
      <c r="FU709" s="25"/>
      <c r="FV709" s="77"/>
      <c r="FW709" s="28"/>
      <c r="FX709" s="28"/>
      <c r="FY709" s="26"/>
      <c r="FZ709" s="26"/>
      <c r="GA709" s="26"/>
      <c r="GB709" s="26"/>
      <c r="GC709" s="26"/>
      <c r="GD709" s="26"/>
      <c r="GE709" s="26"/>
      <c r="GF709" s="26"/>
      <c r="GG709" s="26"/>
      <c r="GH709" s="26"/>
      <c r="GI709" s="26"/>
      <c r="GJ709" s="26"/>
      <c r="GK709" s="26"/>
      <c r="GL709" s="65"/>
      <c r="GM709" s="26"/>
      <c r="GN709" s="26"/>
      <c r="GO709" s="26"/>
      <c r="GP709" s="26"/>
      <c r="GQ709" s="26"/>
      <c r="GR709" s="26"/>
      <c r="GS709" s="64"/>
      <c r="GT709" s="26"/>
      <c r="GU709" s="26"/>
      <c r="GV709" s="26"/>
      <c r="GW709" s="26"/>
      <c r="GX709" s="64"/>
      <c r="GY709" s="26"/>
      <c r="GZ709" s="26">
        <v>22.7</v>
      </c>
      <c r="HA709" s="26"/>
      <c r="HB709" s="26"/>
      <c r="HC709" s="65"/>
      <c r="HD709" s="26"/>
      <c r="HE709" s="26"/>
      <c r="HF709" s="26"/>
      <c r="HG709" s="26"/>
      <c r="HH709" s="65"/>
      <c r="HI709" s="26"/>
      <c r="HJ709" s="26"/>
      <c r="HK709" s="25"/>
      <c r="HL709" s="25"/>
    </row>
    <row r="710" spans="1:220" ht="15.75" customHeight="1" x14ac:dyDescent="0.2">
      <c r="A710" s="58">
        <v>43691.305358796293</v>
      </c>
      <c r="B710" s="32">
        <v>590036</v>
      </c>
      <c r="C710" s="26">
        <v>50</v>
      </c>
      <c r="D710" s="86" t="s">
        <v>751</v>
      </c>
      <c r="E710" s="32">
        <f t="shared" si="21"/>
        <v>0</v>
      </c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  <c r="FJ710" s="25"/>
      <c r="FK710" s="25"/>
      <c r="FL710" s="25"/>
      <c r="FM710" s="25"/>
      <c r="FN710" s="25"/>
      <c r="FO710" s="25"/>
      <c r="FP710" s="25"/>
      <c r="FQ710" s="25"/>
      <c r="FR710" s="25"/>
      <c r="FS710" s="25"/>
      <c r="FT710" s="25"/>
      <c r="FU710" s="25"/>
      <c r="FV710" s="77"/>
      <c r="FW710" s="28"/>
      <c r="FX710" s="28"/>
      <c r="FY710" s="26"/>
      <c r="FZ710" s="26"/>
      <c r="GA710" s="26"/>
      <c r="GB710" s="26"/>
      <c r="GC710" s="26"/>
      <c r="GD710" s="26"/>
      <c r="GE710" s="26"/>
      <c r="GF710" s="26"/>
      <c r="GG710" s="26"/>
      <c r="GH710" s="26"/>
      <c r="GI710" s="26"/>
      <c r="GJ710" s="26"/>
      <c r="GK710" s="26"/>
      <c r="GL710" s="65"/>
      <c r="GM710" s="26"/>
      <c r="GN710" s="26"/>
      <c r="GO710" s="26"/>
      <c r="GP710" s="26"/>
      <c r="GQ710" s="26"/>
      <c r="GR710" s="26"/>
      <c r="GS710" s="64"/>
      <c r="GT710" s="26"/>
      <c r="GU710" s="26"/>
      <c r="GV710" s="26"/>
      <c r="GW710" s="26"/>
      <c r="GX710" s="64"/>
      <c r="GY710" s="26"/>
      <c r="GZ710" s="26"/>
      <c r="HA710" s="26"/>
      <c r="HB710" s="26"/>
      <c r="HC710" s="65"/>
      <c r="HD710" s="26">
        <v>50</v>
      </c>
      <c r="HE710" s="26"/>
      <c r="HF710" s="26"/>
      <c r="HG710" s="26"/>
      <c r="HH710" s="65"/>
      <c r="HI710" s="26"/>
      <c r="HJ710" s="26"/>
      <c r="HK710" s="25"/>
      <c r="HL710" s="25"/>
    </row>
    <row r="711" spans="1:220" ht="15.75" customHeight="1" x14ac:dyDescent="0.2">
      <c r="A711" s="58">
        <v>43692.158599537041</v>
      </c>
      <c r="B711" s="32">
        <v>590173</v>
      </c>
      <c r="C711" s="26">
        <v>50</v>
      </c>
      <c r="D711" s="86" t="s">
        <v>752</v>
      </c>
      <c r="E711" s="32">
        <f t="shared" si="21"/>
        <v>0</v>
      </c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  <c r="FJ711" s="25"/>
      <c r="FK711" s="25"/>
      <c r="FL711" s="25"/>
      <c r="FM711" s="25"/>
      <c r="FN711" s="25"/>
      <c r="FO711" s="25"/>
      <c r="FP711" s="25"/>
      <c r="FQ711" s="25"/>
      <c r="FR711" s="25"/>
      <c r="FS711" s="25"/>
      <c r="FT711" s="25"/>
      <c r="FU711" s="25"/>
      <c r="FV711" s="77"/>
      <c r="FW711" s="28"/>
      <c r="FX711" s="28"/>
      <c r="FY711" s="26"/>
      <c r="FZ711" s="26"/>
      <c r="GA711" s="26"/>
      <c r="GB711" s="26"/>
      <c r="GC711" s="26"/>
      <c r="GD711" s="26"/>
      <c r="GE711" s="26"/>
      <c r="GF711" s="26"/>
      <c r="GG711" s="26"/>
      <c r="GH711" s="26"/>
      <c r="GI711" s="26"/>
      <c r="GJ711" s="26"/>
      <c r="GK711" s="26"/>
      <c r="GL711" s="65"/>
      <c r="GM711" s="26"/>
      <c r="GN711" s="26"/>
      <c r="GO711" s="26"/>
      <c r="GP711" s="26"/>
      <c r="GQ711" s="26"/>
      <c r="GR711" s="26"/>
      <c r="GS711" s="64"/>
      <c r="GT711" s="26"/>
      <c r="GU711" s="26"/>
      <c r="GV711" s="26"/>
      <c r="GW711" s="26"/>
      <c r="GX711" s="64"/>
      <c r="GY711" s="26"/>
      <c r="GZ711" s="26"/>
      <c r="HA711" s="26"/>
      <c r="HB711" s="26"/>
      <c r="HC711" s="65">
        <v>50</v>
      </c>
      <c r="HD711" s="26"/>
      <c r="HE711" s="26"/>
      <c r="HF711" s="26"/>
      <c r="HG711" s="26"/>
      <c r="HH711" s="65"/>
      <c r="HI711" s="26"/>
      <c r="HJ711" s="26"/>
      <c r="HK711" s="25"/>
      <c r="HL711" s="25"/>
    </row>
    <row r="712" spans="1:220" ht="15.75" customHeight="1" x14ac:dyDescent="0.2">
      <c r="A712" s="58">
        <v>43696.524282407408</v>
      </c>
      <c r="B712" s="32">
        <v>590799</v>
      </c>
      <c r="C712" s="26">
        <v>50</v>
      </c>
      <c r="D712" s="86" t="s">
        <v>753</v>
      </c>
      <c r="E712" s="32">
        <f t="shared" si="21"/>
        <v>0</v>
      </c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  <c r="FJ712" s="25"/>
      <c r="FK712" s="25"/>
      <c r="FL712" s="25"/>
      <c r="FM712" s="25"/>
      <c r="FN712" s="25"/>
      <c r="FO712" s="25"/>
      <c r="FP712" s="25"/>
      <c r="FQ712" s="25"/>
      <c r="FR712" s="25"/>
      <c r="FS712" s="25"/>
      <c r="FT712" s="25"/>
      <c r="FU712" s="25"/>
      <c r="FV712" s="77"/>
      <c r="FW712" s="28"/>
      <c r="FX712" s="28"/>
      <c r="FY712" s="26"/>
      <c r="FZ712" s="26"/>
      <c r="GA712" s="26"/>
      <c r="GB712" s="26"/>
      <c r="GC712" s="26"/>
      <c r="GD712" s="26"/>
      <c r="GE712" s="26"/>
      <c r="GF712" s="26"/>
      <c r="GG712" s="26"/>
      <c r="GH712" s="26"/>
      <c r="GI712" s="26"/>
      <c r="GJ712" s="26"/>
      <c r="GK712" s="26"/>
      <c r="GL712" s="65"/>
      <c r="GM712" s="26"/>
      <c r="GN712" s="26"/>
      <c r="GO712" s="26"/>
      <c r="GP712" s="26"/>
      <c r="GQ712" s="26"/>
      <c r="GR712" s="26"/>
      <c r="GS712" s="64"/>
      <c r="GT712" s="26"/>
      <c r="GU712" s="26"/>
      <c r="GV712" s="26"/>
      <c r="GW712" s="26"/>
      <c r="GX712" s="64"/>
      <c r="GY712" s="26">
        <v>50</v>
      </c>
      <c r="GZ712" s="26"/>
      <c r="HA712" s="26"/>
      <c r="HB712" s="26"/>
      <c r="HC712" s="65"/>
      <c r="HD712" s="26"/>
      <c r="HE712" s="26"/>
      <c r="HF712" s="26"/>
      <c r="HG712" s="26"/>
      <c r="HH712" s="65"/>
      <c r="HI712" s="26"/>
      <c r="HJ712" s="26"/>
      <c r="HK712" s="25"/>
      <c r="HL712" s="25"/>
    </row>
    <row r="713" spans="1:220" ht="15.75" customHeight="1" x14ac:dyDescent="0.2">
      <c r="A713" s="58">
        <v>43699.338229166664</v>
      </c>
      <c r="B713" s="32">
        <v>591205</v>
      </c>
      <c r="C713" s="26">
        <v>30</v>
      </c>
      <c r="D713" s="86" t="s">
        <v>754</v>
      </c>
      <c r="E713" s="32">
        <f t="shared" si="21"/>
        <v>0</v>
      </c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  <c r="FJ713" s="25"/>
      <c r="FK713" s="25"/>
      <c r="FL713" s="25"/>
      <c r="FM713" s="25"/>
      <c r="FN713" s="25"/>
      <c r="FO713" s="25"/>
      <c r="FP713" s="25"/>
      <c r="FQ713" s="25"/>
      <c r="FR713" s="25"/>
      <c r="FS713" s="25"/>
      <c r="FT713" s="25"/>
      <c r="FU713" s="25"/>
      <c r="FV713" s="77"/>
      <c r="FW713" s="28"/>
      <c r="FX713" s="28"/>
      <c r="FY713" s="26"/>
      <c r="FZ713" s="26"/>
      <c r="GA713" s="26"/>
      <c r="GB713" s="26"/>
      <c r="GC713" s="26"/>
      <c r="GD713" s="26"/>
      <c r="GE713" s="26"/>
      <c r="GF713" s="26"/>
      <c r="GG713" s="26"/>
      <c r="GH713" s="26"/>
      <c r="GI713" s="26"/>
      <c r="GJ713" s="26"/>
      <c r="GK713" s="26"/>
      <c r="GL713" s="65"/>
      <c r="GM713" s="26"/>
      <c r="GN713" s="26"/>
      <c r="GO713" s="26"/>
      <c r="GP713" s="26"/>
      <c r="GQ713" s="26"/>
      <c r="GR713" s="26"/>
      <c r="GS713" s="64"/>
      <c r="GT713" s="26"/>
      <c r="GU713" s="26"/>
      <c r="GV713" s="26">
        <v>30</v>
      </c>
      <c r="GW713" s="26"/>
      <c r="GX713" s="64"/>
      <c r="GY713" s="26"/>
      <c r="GZ713" s="26"/>
      <c r="HA713" s="26"/>
      <c r="HB713" s="26"/>
      <c r="HC713" s="65"/>
      <c r="HD713" s="26"/>
      <c r="HE713" s="26"/>
      <c r="HF713" s="26"/>
      <c r="HG713" s="26"/>
      <c r="HH713" s="65"/>
      <c r="HI713" s="26"/>
      <c r="HJ713" s="26"/>
      <c r="HK713" s="25"/>
      <c r="HL713" s="25"/>
    </row>
    <row r="714" spans="1:220" ht="15.75" customHeight="1" x14ac:dyDescent="0.2">
      <c r="A714" s="58">
        <v>43694.4221412037</v>
      </c>
      <c r="B714" s="32">
        <v>590504</v>
      </c>
      <c r="C714" s="26">
        <v>56</v>
      </c>
      <c r="D714" s="86" t="s">
        <v>755</v>
      </c>
      <c r="E714" s="32">
        <f t="shared" si="21"/>
        <v>0</v>
      </c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  <c r="FJ714" s="25"/>
      <c r="FK714" s="25"/>
      <c r="FL714" s="25"/>
      <c r="FM714" s="25"/>
      <c r="FN714" s="25"/>
      <c r="FO714" s="25"/>
      <c r="FP714" s="25"/>
      <c r="FQ714" s="25"/>
      <c r="FR714" s="25"/>
      <c r="FS714" s="25"/>
      <c r="FT714" s="25"/>
      <c r="FU714" s="25"/>
      <c r="FV714" s="77"/>
      <c r="FW714" s="28"/>
      <c r="FX714" s="28"/>
      <c r="FY714" s="26"/>
      <c r="FZ714" s="26"/>
      <c r="GA714" s="26"/>
      <c r="GB714" s="26"/>
      <c r="GC714" s="26"/>
      <c r="GD714" s="26"/>
      <c r="GE714" s="26"/>
      <c r="GF714" s="26"/>
      <c r="GG714" s="26"/>
      <c r="GH714" s="26"/>
      <c r="GI714" s="26"/>
      <c r="GJ714" s="26"/>
      <c r="GK714" s="26"/>
      <c r="GL714" s="65"/>
      <c r="GM714" s="26"/>
      <c r="GN714" s="26"/>
      <c r="GO714" s="26"/>
      <c r="GP714" s="26"/>
      <c r="GQ714" s="26"/>
      <c r="GR714" s="26"/>
      <c r="GS714" s="64"/>
      <c r="GT714" s="26"/>
      <c r="GU714" s="26"/>
      <c r="GV714" s="26"/>
      <c r="GW714" s="26"/>
      <c r="GX714" s="64"/>
      <c r="GY714" s="26"/>
      <c r="GZ714" s="26"/>
      <c r="HA714" s="26">
        <v>56</v>
      </c>
      <c r="HB714" s="26"/>
      <c r="HC714" s="65"/>
      <c r="HD714" s="26"/>
      <c r="HE714" s="26"/>
      <c r="HF714" s="26"/>
      <c r="HG714" s="26"/>
      <c r="HH714" s="65"/>
      <c r="HI714" s="26"/>
      <c r="HJ714" s="26"/>
      <c r="HK714" s="25"/>
      <c r="HL714" s="25"/>
    </row>
    <row r="715" spans="1:220" ht="15.75" customHeight="1" x14ac:dyDescent="0.2">
      <c r="A715" s="58">
        <v>43699.157592592594</v>
      </c>
      <c r="B715" s="32">
        <v>591183</v>
      </c>
      <c r="C715" s="26">
        <v>55</v>
      </c>
      <c r="D715" s="86" t="s">
        <v>756</v>
      </c>
      <c r="E715" s="32">
        <f t="shared" si="21"/>
        <v>0</v>
      </c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  <c r="FJ715" s="25"/>
      <c r="FK715" s="25"/>
      <c r="FL715" s="25"/>
      <c r="FM715" s="25"/>
      <c r="FN715" s="25"/>
      <c r="FO715" s="25"/>
      <c r="FP715" s="25"/>
      <c r="FQ715" s="25"/>
      <c r="FR715" s="25"/>
      <c r="FS715" s="25"/>
      <c r="FT715" s="25"/>
      <c r="FU715" s="25"/>
      <c r="FV715" s="77"/>
      <c r="FW715" s="28"/>
      <c r="FX715" s="28"/>
      <c r="FY715" s="26"/>
      <c r="FZ715" s="26"/>
      <c r="GA715" s="26"/>
      <c r="GB715" s="26"/>
      <c r="GC715" s="26"/>
      <c r="GD715" s="26"/>
      <c r="GE715" s="26"/>
      <c r="GF715" s="26"/>
      <c r="GG715" s="26"/>
      <c r="GH715" s="26"/>
      <c r="GI715" s="26"/>
      <c r="GJ715" s="26"/>
      <c r="GK715" s="26"/>
      <c r="GL715" s="65"/>
      <c r="GM715" s="26"/>
      <c r="GN715" s="26"/>
      <c r="GO715" s="26"/>
      <c r="GP715" s="26"/>
      <c r="GQ715" s="26"/>
      <c r="GR715" s="26"/>
      <c r="GS715" s="64"/>
      <c r="GT715" s="26"/>
      <c r="GU715" s="26"/>
      <c r="GV715" s="26">
        <v>55</v>
      </c>
      <c r="GW715" s="26"/>
      <c r="GX715" s="64"/>
      <c r="GY715" s="26"/>
      <c r="GZ715" s="26"/>
      <c r="HA715" s="26"/>
      <c r="HB715" s="26"/>
      <c r="HC715" s="65"/>
      <c r="HD715" s="26"/>
      <c r="HE715" s="26"/>
      <c r="HF715" s="26"/>
      <c r="HG715" s="26"/>
      <c r="HH715" s="65"/>
      <c r="HI715" s="26"/>
      <c r="HJ715" s="26"/>
      <c r="HK715" s="25"/>
      <c r="HL715" s="25"/>
    </row>
    <row r="716" spans="1:220" ht="15.75" customHeight="1" x14ac:dyDescent="0.2">
      <c r="A716" s="58">
        <v>43694.502974537034</v>
      </c>
      <c r="B716" s="32">
        <v>590517</v>
      </c>
      <c r="C716" s="26">
        <v>61</v>
      </c>
      <c r="D716" s="86" t="s">
        <v>757</v>
      </c>
      <c r="E716" s="32">
        <f t="shared" si="21"/>
        <v>0</v>
      </c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  <c r="FJ716" s="25"/>
      <c r="FK716" s="25"/>
      <c r="FL716" s="25"/>
      <c r="FM716" s="25"/>
      <c r="FN716" s="25"/>
      <c r="FO716" s="25"/>
      <c r="FP716" s="25"/>
      <c r="FQ716" s="25"/>
      <c r="FR716" s="25"/>
      <c r="FS716" s="25"/>
      <c r="FT716" s="25"/>
      <c r="FU716" s="25"/>
      <c r="FV716" s="77"/>
      <c r="FW716" s="28"/>
      <c r="FX716" s="28"/>
      <c r="FY716" s="26"/>
      <c r="FZ716" s="26"/>
      <c r="GA716" s="26"/>
      <c r="GB716" s="26"/>
      <c r="GC716" s="26"/>
      <c r="GD716" s="26"/>
      <c r="GE716" s="26"/>
      <c r="GF716" s="26"/>
      <c r="GG716" s="26"/>
      <c r="GH716" s="26"/>
      <c r="GI716" s="26"/>
      <c r="GJ716" s="26"/>
      <c r="GK716" s="26"/>
      <c r="GL716" s="65"/>
      <c r="GM716" s="26"/>
      <c r="GN716" s="26"/>
      <c r="GO716" s="26"/>
      <c r="GP716" s="26"/>
      <c r="GQ716" s="26"/>
      <c r="GR716" s="26"/>
      <c r="GS716" s="64"/>
      <c r="GT716" s="26"/>
      <c r="GU716" s="26"/>
      <c r="GV716" s="26"/>
      <c r="GW716" s="26"/>
      <c r="GX716" s="64"/>
      <c r="GY716" s="26"/>
      <c r="GZ716" s="26"/>
      <c r="HA716" s="26">
        <v>61</v>
      </c>
      <c r="HB716" s="26"/>
      <c r="HC716" s="65"/>
      <c r="HD716" s="26"/>
      <c r="HE716" s="26"/>
      <c r="HF716" s="26"/>
      <c r="HG716" s="26"/>
      <c r="HH716" s="65"/>
      <c r="HI716" s="26"/>
      <c r="HJ716" s="26"/>
      <c r="HK716" s="25"/>
      <c r="HL716" s="25"/>
    </row>
    <row r="717" spans="1:220" ht="15.75" customHeight="1" x14ac:dyDescent="0.2">
      <c r="A717" s="58">
        <v>43689.292858796296</v>
      </c>
      <c r="B717" s="32">
        <v>589751</v>
      </c>
      <c r="C717" s="26">
        <v>30</v>
      </c>
      <c r="D717" s="86" t="s">
        <v>758</v>
      </c>
      <c r="E717" s="32">
        <f t="shared" si="21"/>
        <v>0</v>
      </c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  <c r="FJ717" s="25"/>
      <c r="FK717" s="25"/>
      <c r="FL717" s="25"/>
      <c r="FM717" s="25"/>
      <c r="FN717" s="25"/>
      <c r="FO717" s="25"/>
      <c r="FP717" s="25"/>
      <c r="FQ717" s="25"/>
      <c r="FR717" s="25"/>
      <c r="FS717" s="25"/>
      <c r="FT717" s="25"/>
      <c r="FU717" s="25"/>
      <c r="FV717" s="77"/>
      <c r="FW717" s="28"/>
      <c r="FX717" s="28"/>
      <c r="FY717" s="26"/>
      <c r="FZ717" s="26"/>
      <c r="GA717" s="26"/>
      <c r="GB717" s="26"/>
      <c r="GC717" s="26"/>
      <c r="GD717" s="26"/>
      <c r="GE717" s="26"/>
      <c r="GF717" s="26"/>
      <c r="GG717" s="26"/>
      <c r="GH717" s="26"/>
      <c r="GI717" s="26"/>
      <c r="GJ717" s="26"/>
      <c r="GK717" s="26"/>
      <c r="GL717" s="65"/>
      <c r="GM717" s="26"/>
      <c r="GN717" s="26"/>
      <c r="GO717" s="26"/>
      <c r="GP717" s="26"/>
      <c r="GQ717" s="26"/>
      <c r="GR717" s="26"/>
      <c r="GS717" s="64"/>
      <c r="GT717" s="26"/>
      <c r="GU717" s="26"/>
      <c r="GV717" s="26"/>
      <c r="GW717" s="26"/>
      <c r="GX717" s="64"/>
      <c r="GY717" s="26"/>
      <c r="GZ717" s="26"/>
      <c r="HA717" s="26"/>
      <c r="HB717" s="26"/>
      <c r="HC717" s="65"/>
      <c r="HD717" s="26"/>
      <c r="HE717" s="26"/>
      <c r="HF717" s="26">
        <v>30</v>
      </c>
      <c r="HG717" s="26"/>
      <c r="HH717" s="65"/>
      <c r="HI717" s="26"/>
      <c r="HJ717" s="26"/>
      <c r="HK717" s="25"/>
      <c r="HL717" s="25"/>
    </row>
    <row r="718" spans="1:220" ht="15.75" customHeight="1" x14ac:dyDescent="0.2">
      <c r="A718" s="58">
        <v>43699.442997685182</v>
      </c>
      <c r="B718" s="32">
        <v>591221</v>
      </c>
      <c r="C718" s="26">
        <v>20</v>
      </c>
      <c r="D718" s="86" t="s">
        <v>759</v>
      </c>
      <c r="E718" s="32">
        <f t="shared" si="21"/>
        <v>0</v>
      </c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  <c r="FJ718" s="25"/>
      <c r="FK718" s="25"/>
      <c r="FL718" s="25"/>
      <c r="FM718" s="25"/>
      <c r="FN718" s="25"/>
      <c r="FO718" s="25"/>
      <c r="FP718" s="25"/>
      <c r="FQ718" s="25"/>
      <c r="FR718" s="25"/>
      <c r="FS718" s="25"/>
      <c r="FT718" s="25"/>
      <c r="FU718" s="25"/>
      <c r="FV718" s="77"/>
      <c r="FW718" s="28"/>
      <c r="FX718" s="28"/>
      <c r="FY718" s="26"/>
      <c r="FZ718" s="26"/>
      <c r="GA718" s="26"/>
      <c r="GB718" s="26"/>
      <c r="GC718" s="26"/>
      <c r="GD718" s="26"/>
      <c r="GE718" s="26"/>
      <c r="GF718" s="26"/>
      <c r="GG718" s="26"/>
      <c r="GH718" s="26"/>
      <c r="GI718" s="26"/>
      <c r="GJ718" s="26"/>
      <c r="GK718" s="26"/>
      <c r="GL718" s="65"/>
      <c r="GM718" s="26"/>
      <c r="GN718" s="26"/>
      <c r="GO718" s="26"/>
      <c r="GP718" s="26"/>
      <c r="GQ718" s="26"/>
      <c r="GR718" s="26"/>
      <c r="GS718" s="64"/>
      <c r="GT718" s="26"/>
      <c r="GU718" s="26"/>
      <c r="GV718" s="26">
        <v>20</v>
      </c>
      <c r="GW718" s="26"/>
      <c r="GX718" s="64"/>
      <c r="GY718" s="26"/>
      <c r="GZ718" s="26"/>
      <c r="HA718" s="26"/>
      <c r="HB718" s="26"/>
      <c r="HC718" s="65"/>
      <c r="HD718" s="26"/>
      <c r="HE718" s="26"/>
      <c r="HF718" s="26"/>
      <c r="HG718" s="26"/>
      <c r="HH718" s="65"/>
      <c r="HI718" s="26"/>
      <c r="HJ718" s="26"/>
      <c r="HK718" s="25"/>
      <c r="HL718" s="25"/>
    </row>
    <row r="719" spans="1:220" ht="15.75" customHeight="1" x14ac:dyDescent="0.2">
      <c r="A719" s="58">
        <v>43689.833657407406</v>
      </c>
      <c r="B719" s="32">
        <v>589827</v>
      </c>
      <c r="C719" s="26">
        <v>70.25</v>
      </c>
      <c r="D719" s="86" t="s">
        <v>760</v>
      </c>
      <c r="E719" s="32">
        <f t="shared" si="21"/>
        <v>0</v>
      </c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  <c r="FJ719" s="25"/>
      <c r="FK719" s="25"/>
      <c r="FL719" s="25"/>
      <c r="FM719" s="25"/>
      <c r="FN719" s="25"/>
      <c r="FO719" s="25"/>
      <c r="FP719" s="25"/>
      <c r="FQ719" s="25"/>
      <c r="FR719" s="25"/>
      <c r="FS719" s="25"/>
      <c r="FT719" s="25"/>
      <c r="FU719" s="25"/>
      <c r="FV719" s="77"/>
      <c r="FW719" s="28"/>
      <c r="FX719" s="28"/>
      <c r="FY719" s="26"/>
      <c r="FZ719" s="26"/>
      <c r="GA719" s="26"/>
      <c r="GB719" s="26"/>
      <c r="GC719" s="26"/>
      <c r="GD719" s="26"/>
      <c r="GE719" s="26"/>
      <c r="GF719" s="26"/>
      <c r="GG719" s="26"/>
      <c r="GH719" s="26"/>
      <c r="GI719" s="26"/>
      <c r="GJ719" s="26"/>
      <c r="GK719" s="26"/>
      <c r="GL719" s="65"/>
      <c r="GM719" s="26"/>
      <c r="GN719" s="26"/>
      <c r="GO719" s="26"/>
      <c r="GP719" s="26"/>
      <c r="GQ719" s="26"/>
      <c r="GR719" s="26"/>
      <c r="GS719" s="64"/>
      <c r="GT719" s="26"/>
      <c r="GU719" s="26"/>
      <c r="GV719" s="26"/>
      <c r="GW719" s="26"/>
      <c r="GX719" s="64"/>
      <c r="GY719" s="26"/>
      <c r="GZ719" s="26"/>
      <c r="HA719" s="26"/>
      <c r="HB719" s="26"/>
      <c r="HC719" s="65"/>
      <c r="HD719" s="26"/>
      <c r="HE719" s="26">
        <v>70.25</v>
      </c>
      <c r="HF719" s="26"/>
      <c r="HG719" s="26"/>
      <c r="HH719" s="65"/>
      <c r="HI719" s="26"/>
      <c r="HJ719" s="26"/>
      <c r="HK719" s="25"/>
      <c r="HL719" s="25"/>
    </row>
    <row r="720" spans="1:220" ht="15.75" customHeight="1" x14ac:dyDescent="0.2">
      <c r="A720" s="58">
        <v>43689.115925925929</v>
      </c>
      <c r="B720" s="32">
        <v>589724</v>
      </c>
      <c r="C720" s="26">
        <v>47.27</v>
      </c>
      <c r="D720" s="86" t="s">
        <v>761</v>
      </c>
      <c r="E720" s="32">
        <f t="shared" si="21"/>
        <v>0</v>
      </c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  <c r="FJ720" s="25"/>
      <c r="FK720" s="25"/>
      <c r="FL720" s="25"/>
      <c r="FM720" s="25"/>
      <c r="FN720" s="25"/>
      <c r="FO720" s="25"/>
      <c r="FP720" s="25"/>
      <c r="FQ720" s="25"/>
      <c r="FR720" s="25"/>
      <c r="FS720" s="25"/>
      <c r="FT720" s="25"/>
      <c r="FU720" s="25"/>
      <c r="FV720" s="77"/>
      <c r="FW720" s="28"/>
      <c r="FX720" s="28"/>
      <c r="FY720" s="26"/>
      <c r="FZ720" s="26"/>
      <c r="GA720" s="26"/>
      <c r="GB720" s="26"/>
      <c r="GC720" s="26"/>
      <c r="GD720" s="26"/>
      <c r="GE720" s="26"/>
      <c r="GF720" s="26"/>
      <c r="GG720" s="26"/>
      <c r="GH720" s="26"/>
      <c r="GI720" s="26"/>
      <c r="GJ720" s="26"/>
      <c r="GK720" s="26"/>
      <c r="GL720" s="65"/>
      <c r="GM720" s="26"/>
      <c r="GN720" s="26"/>
      <c r="GO720" s="26"/>
      <c r="GP720" s="26"/>
      <c r="GQ720" s="26"/>
      <c r="GR720" s="26"/>
      <c r="GS720" s="64"/>
      <c r="GT720" s="26"/>
      <c r="GU720" s="26"/>
      <c r="GV720" s="26"/>
      <c r="GW720" s="26"/>
      <c r="GX720" s="64"/>
      <c r="GY720" s="26"/>
      <c r="GZ720" s="26"/>
      <c r="HA720" s="26"/>
      <c r="HB720" s="26"/>
      <c r="HC720" s="65"/>
      <c r="HD720" s="26"/>
      <c r="HE720" s="26"/>
      <c r="HF720" s="26">
        <v>47.27</v>
      </c>
      <c r="HG720" s="26"/>
      <c r="HH720" s="65"/>
      <c r="HI720" s="26"/>
      <c r="HJ720" s="26"/>
      <c r="HK720" s="25"/>
      <c r="HL720" s="25"/>
    </row>
    <row r="721" spans="1:220" ht="15.75" customHeight="1" x14ac:dyDescent="0.2">
      <c r="A721" s="58">
        <v>43690.123425925929</v>
      </c>
      <c r="B721" s="32">
        <v>589859</v>
      </c>
      <c r="C721" s="26">
        <v>82.45</v>
      </c>
      <c r="D721" s="86" t="s">
        <v>762</v>
      </c>
      <c r="E721" s="32">
        <f t="shared" si="21"/>
        <v>0</v>
      </c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  <c r="FJ721" s="25"/>
      <c r="FK721" s="25"/>
      <c r="FL721" s="25"/>
      <c r="FM721" s="25"/>
      <c r="FN721" s="25"/>
      <c r="FO721" s="25"/>
      <c r="FP721" s="25"/>
      <c r="FQ721" s="25"/>
      <c r="FR721" s="25"/>
      <c r="FS721" s="25"/>
      <c r="FT721" s="25"/>
      <c r="FU721" s="25"/>
      <c r="FV721" s="77"/>
      <c r="FW721" s="28"/>
      <c r="FX721" s="28"/>
      <c r="FY721" s="26"/>
      <c r="FZ721" s="26"/>
      <c r="GA721" s="26"/>
      <c r="GB721" s="26"/>
      <c r="GC721" s="26"/>
      <c r="GD721" s="26"/>
      <c r="GE721" s="26"/>
      <c r="GF721" s="26"/>
      <c r="GG721" s="26"/>
      <c r="GH721" s="26"/>
      <c r="GI721" s="26"/>
      <c r="GJ721" s="26"/>
      <c r="GK721" s="26"/>
      <c r="GL721" s="65"/>
      <c r="GM721" s="26"/>
      <c r="GN721" s="26"/>
      <c r="GO721" s="26"/>
      <c r="GP721" s="26"/>
      <c r="GQ721" s="26"/>
      <c r="GR721" s="26"/>
      <c r="GS721" s="64"/>
      <c r="GT721" s="26"/>
      <c r="GU721" s="26"/>
      <c r="GV721" s="26"/>
      <c r="GW721" s="26"/>
      <c r="GX721" s="64"/>
      <c r="GY721" s="26"/>
      <c r="GZ721" s="26"/>
      <c r="HA721" s="26"/>
      <c r="HB721" s="26">
        <v>82.45</v>
      </c>
      <c r="HC721" s="65"/>
      <c r="HD721" s="26"/>
      <c r="HE721" s="26"/>
      <c r="HF721" s="26"/>
      <c r="HG721" s="26"/>
      <c r="HH721" s="65"/>
      <c r="HI721" s="26"/>
      <c r="HJ721" s="26"/>
      <c r="HK721" s="25"/>
      <c r="HL721" s="25"/>
    </row>
    <row r="722" spans="1:220" ht="15.75" customHeight="1" x14ac:dyDescent="0.2">
      <c r="A722" s="58">
        <v>43699.301111111112</v>
      </c>
      <c r="B722" s="32">
        <v>591201</v>
      </c>
      <c r="C722" s="26">
        <v>20</v>
      </c>
      <c r="D722" s="86" t="s">
        <v>763</v>
      </c>
      <c r="E722" s="32">
        <f t="shared" si="21"/>
        <v>0</v>
      </c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  <c r="FJ722" s="25"/>
      <c r="FK722" s="25"/>
      <c r="FL722" s="25"/>
      <c r="FM722" s="25"/>
      <c r="FN722" s="25"/>
      <c r="FO722" s="25"/>
      <c r="FP722" s="25"/>
      <c r="FQ722" s="25"/>
      <c r="FR722" s="25"/>
      <c r="FS722" s="25"/>
      <c r="FT722" s="25"/>
      <c r="FU722" s="25"/>
      <c r="FV722" s="77"/>
      <c r="FW722" s="28"/>
      <c r="FX722" s="28"/>
      <c r="FY722" s="26"/>
      <c r="FZ722" s="26"/>
      <c r="GA722" s="26"/>
      <c r="GB722" s="26"/>
      <c r="GC722" s="26"/>
      <c r="GD722" s="26"/>
      <c r="GE722" s="26"/>
      <c r="GF722" s="26"/>
      <c r="GG722" s="26"/>
      <c r="GH722" s="26"/>
      <c r="GI722" s="26"/>
      <c r="GJ722" s="26"/>
      <c r="GK722" s="26"/>
      <c r="GL722" s="65"/>
      <c r="GM722" s="26"/>
      <c r="GN722" s="26"/>
      <c r="GO722" s="26"/>
      <c r="GP722" s="26"/>
      <c r="GQ722" s="26"/>
      <c r="GR722" s="26"/>
      <c r="GS722" s="64"/>
      <c r="GT722" s="26"/>
      <c r="GU722" s="26"/>
      <c r="GV722" s="26">
        <v>20</v>
      </c>
      <c r="GW722" s="26"/>
      <c r="GX722" s="64"/>
      <c r="GY722" s="26"/>
      <c r="GZ722" s="26"/>
      <c r="HA722" s="26"/>
      <c r="HB722" s="26"/>
      <c r="HC722" s="65"/>
      <c r="HD722" s="26"/>
      <c r="HE722" s="26"/>
      <c r="HF722" s="26"/>
      <c r="HG722" s="26"/>
      <c r="HH722" s="65"/>
      <c r="HI722" s="26"/>
      <c r="HJ722" s="26"/>
      <c r="HK722" s="25"/>
      <c r="HL722" s="25"/>
    </row>
    <row r="723" spans="1:220" ht="15.75" customHeight="1" x14ac:dyDescent="0.2">
      <c r="A723" s="58">
        <v>43691.585393518515</v>
      </c>
      <c r="B723" s="32">
        <v>590080</v>
      </c>
      <c r="C723" s="26">
        <v>47.87</v>
      </c>
      <c r="D723" s="86" t="s">
        <v>764</v>
      </c>
      <c r="E723" s="32">
        <f t="shared" si="21"/>
        <v>-3.0000000000001137E-2</v>
      </c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  <c r="FJ723" s="25"/>
      <c r="FK723" s="25"/>
      <c r="FL723" s="25"/>
      <c r="FM723" s="25"/>
      <c r="FN723" s="25"/>
      <c r="FO723" s="25"/>
      <c r="FP723" s="25"/>
      <c r="FQ723" s="25"/>
      <c r="FR723" s="25"/>
      <c r="FS723" s="25"/>
      <c r="FT723" s="25"/>
      <c r="FU723" s="25"/>
      <c r="FV723" s="77"/>
      <c r="FW723" s="28"/>
      <c r="FX723" s="28"/>
      <c r="FY723" s="26"/>
      <c r="FZ723" s="26"/>
      <c r="GA723" s="26"/>
      <c r="GB723" s="26"/>
      <c r="GC723" s="26"/>
      <c r="GD723" s="26"/>
      <c r="GE723" s="26"/>
      <c r="GF723" s="26"/>
      <c r="GG723" s="26"/>
      <c r="GH723" s="26"/>
      <c r="GI723" s="26"/>
      <c r="GJ723" s="26"/>
      <c r="GK723" s="26"/>
      <c r="GL723" s="65"/>
      <c r="GM723" s="26"/>
      <c r="GN723" s="26"/>
      <c r="GO723" s="26"/>
      <c r="GP723" s="26"/>
      <c r="GQ723" s="26"/>
      <c r="GR723" s="26"/>
      <c r="GS723" s="64"/>
      <c r="GT723" s="26"/>
      <c r="GU723" s="26"/>
      <c r="GV723" s="26"/>
      <c r="GW723" s="26"/>
      <c r="GX723" s="64"/>
      <c r="GY723" s="26"/>
      <c r="GZ723" s="26"/>
      <c r="HA723" s="26"/>
      <c r="HB723" s="26">
        <v>27.9</v>
      </c>
      <c r="HC723" s="65">
        <v>10</v>
      </c>
      <c r="HD723" s="26">
        <v>10</v>
      </c>
      <c r="HE723" s="26"/>
      <c r="HF723" s="26"/>
      <c r="HG723" s="26"/>
      <c r="HH723" s="65"/>
      <c r="HI723" s="26"/>
      <c r="HJ723" s="26"/>
      <c r="HK723" s="25"/>
      <c r="HL723" s="25"/>
    </row>
    <row r="724" spans="1:220" ht="15.75" customHeight="1" x14ac:dyDescent="0.2">
      <c r="A724" s="58">
        <v>43691.387071759258</v>
      </c>
      <c r="B724" s="32">
        <v>590051</v>
      </c>
      <c r="C724" s="26">
        <v>55.042000000000002</v>
      </c>
      <c r="D724" s="86" t="s">
        <v>765</v>
      </c>
      <c r="E724" s="32">
        <f t="shared" si="21"/>
        <v>4.2000000000001592E-2</v>
      </c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  <c r="FE724" s="25"/>
      <c r="FF724" s="25"/>
      <c r="FG724" s="25"/>
      <c r="FH724" s="25"/>
      <c r="FI724" s="25"/>
      <c r="FJ724" s="25"/>
      <c r="FK724" s="25"/>
      <c r="FL724" s="25"/>
      <c r="FM724" s="25"/>
      <c r="FN724" s="25"/>
      <c r="FO724" s="25"/>
      <c r="FP724" s="25"/>
      <c r="FQ724" s="25"/>
      <c r="FR724" s="25"/>
      <c r="FS724" s="25"/>
      <c r="FT724" s="25"/>
      <c r="FU724" s="25"/>
      <c r="FV724" s="77"/>
      <c r="FW724" s="28"/>
      <c r="FX724" s="28"/>
      <c r="FY724" s="26"/>
      <c r="FZ724" s="26"/>
      <c r="GA724" s="26"/>
      <c r="GB724" s="26"/>
      <c r="GC724" s="26"/>
      <c r="GD724" s="26"/>
      <c r="GE724" s="26"/>
      <c r="GF724" s="26"/>
      <c r="GG724" s="26"/>
      <c r="GH724" s="26"/>
      <c r="GI724" s="26"/>
      <c r="GJ724" s="26"/>
      <c r="GK724" s="26"/>
      <c r="GL724" s="65"/>
      <c r="GM724" s="26"/>
      <c r="GN724" s="26"/>
      <c r="GO724" s="26"/>
      <c r="GP724" s="26"/>
      <c r="GQ724" s="26"/>
      <c r="GR724" s="26"/>
      <c r="GS724" s="64"/>
      <c r="GT724" s="26"/>
      <c r="GU724" s="26"/>
      <c r="GV724" s="26"/>
      <c r="GW724" s="26"/>
      <c r="GX724" s="64"/>
      <c r="GY724" s="26"/>
      <c r="GZ724" s="26"/>
      <c r="HA724" s="26"/>
      <c r="HB724" s="26"/>
      <c r="HC724" s="65">
        <v>55</v>
      </c>
      <c r="HD724" s="26"/>
      <c r="HE724" s="26"/>
      <c r="HF724" s="26"/>
      <c r="HG724" s="26"/>
      <c r="HH724" s="65"/>
      <c r="HI724" s="26"/>
      <c r="HJ724" s="26"/>
      <c r="HK724" s="25"/>
      <c r="HL724" s="25"/>
    </row>
    <row r="725" spans="1:220" ht="15.75" customHeight="1" x14ac:dyDescent="0.2">
      <c r="A725" s="58">
        <v>43692.229421296295</v>
      </c>
      <c r="B725" s="32">
        <v>590182</v>
      </c>
      <c r="C725" s="26">
        <v>50.1</v>
      </c>
      <c r="D725" s="86" t="s">
        <v>766</v>
      </c>
      <c r="E725" s="32">
        <f t="shared" si="21"/>
        <v>0</v>
      </c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  <c r="FJ725" s="25"/>
      <c r="FK725" s="25"/>
      <c r="FL725" s="25"/>
      <c r="FM725" s="25"/>
      <c r="FN725" s="25"/>
      <c r="FO725" s="25"/>
      <c r="FP725" s="25"/>
      <c r="FQ725" s="25"/>
      <c r="FR725" s="25"/>
      <c r="FS725" s="25"/>
      <c r="FT725" s="25"/>
      <c r="FU725" s="25"/>
      <c r="FV725" s="77"/>
      <c r="FW725" s="28"/>
      <c r="FX725" s="28"/>
      <c r="FY725" s="26"/>
      <c r="FZ725" s="26"/>
      <c r="GA725" s="26"/>
      <c r="GB725" s="26"/>
      <c r="GC725" s="26"/>
      <c r="GD725" s="26"/>
      <c r="GE725" s="26"/>
      <c r="GF725" s="26"/>
      <c r="GG725" s="26"/>
      <c r="GH725" s="26"/>
      <c r="GI725" s="26"/>
      <c r="GJ725" s="26"/>
      <c r="GK725" s="26"/>
      <c r="GL725" s="65"/>
      <c r="GM725" s="26"/>
      <c r="GN725" s="26"/>
      <c r="GO725" s="26"/>
      <c r="GP725" s="26"/>
      <c r="GQ725" s="26"/>
      <c r="GR725" s="26"/>
      <c r="GS725" s="64"/>
      <c r="GT725" s="26"/>
      <c r="GU725" s="26"/>
      <c r="GV725" s="26"/>
      <c r="GW725" s="26"/>
      <c r="GX725" s="64"/>
      <c r="GY725" s="26"/>
      <c r="GZ725" s="26"/>
      <c r="HA725" s="26"/>
      <c r="HB725" s="26"/>
      <c r="HC725" s="65">
        <v>50.1</v>
      </c>
      <c r="HD725" s="26"/>
      <c r="HE725" s="26"/>
      <c r="HF725" s="26"/>
      <c r="HG725" s="26"/>
      <c r="HH725" s="65"/>
      <c r="HI725" s="26"/>
      <c r="HJ725" s="26"/>
      <c r="HK725" s="25"/>
      <c r="HL725" s="25"/>
    </row>
    <row r="726" spans="1:220" ht="15.75" customHeight="1" x14ac:dyDescent="0.2">
      <c r="A726" s="58">
        <v>43686.465231481481</v>
      </c>
      <c r="B726" s="32">
        <v>589319</v>
      </c>
      <c r="C726" s="26">
        <v>100</v>
      </c>
      <c r="D726" s="86" t="s">
        <v>767</v>
      </c>
      <c r="E726" s="32">
        <f t="shared" si="21"/>
        <v>0</v>
      </c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  <c r="FJ726" s="25"/>
      <c r="FK726" s="25"/>
      <c r="FL726" s="25"/>
      <c r="FM726" s="25"/>
      <c r="FN726" s="25"/>
      <c r="FO726" s="25"/>
      <c r="FP726" s="25"/>
      <c r="FQ726" s="25"/>
      <c r="FR726" s="25"/>
      <c r="FS726" s="25"/>
      <c r="FT726" s="25"/>
      <c r="FU726" s="25"/>
      <c r="FV726" s="77"/>
      <c r="FW726" s="28"/>
      <c r="FX726" s="28"/>
      <c r="FY726" s="26"/>
      <c r="FZ726" s="26"/>
      <c r="GA726" s="26"/>
      <c r="GB726" s="26"/>
      <c r="GC726" s="26"/>
      <c r="GD726" s="26"/>
      <c r="GE726" s="26"/>
      <c r="GF726" s="26"/>
      <c r="GG726" s="26"/>
      <c r="GH726" s="26"/>
      <c r="GI726" s="26"/>
      <c r="GJ726" s="26"/>
      <c r="GK726" s="26"/>
      <c r="GL726" s="65"/>
      <c r="GM726" s="26"/>
      <c r="GN726" s="26"/>
      <c r="GO726" s="26"/>
      <c r="GP726" s="26"/>
      <c r="GQ726" s="26"/>
      <c r="GR726" s="26"/>
      <c r="GS726" s="64"/>
      <c r="GT726" s="26"/>
      <c r="GU726" s="26"/>
      <c r="GV726" s="26"/>
      <c r="GW726" s="26"/>
      <c r="GX726" s="64"/>
      <c r="GY726" s="26"/>
      <c r="GZ726" s="26"/>
      <c r="HA726" s="26"/>
      <c r="HB726" s="26"/>
      <c r="HC726" s="65"/>
      <c r="HD726" s="26"/>
      <c r="HE726" s="26"/>
      <c r="HF726" s="26"/>
      <c r="HG726" s="26"/>
      <c r="HH726" s="65"/>
      <c r="HI726" s="26">
        <v>100</v>
      </c>
      <c r="HJ726" s="26"/>
      <c r="HK726" s="25"/>
      <c r="HL726" s="25"/>
    </row>
    <row r="727" spans="1:220" ht="15.75" customHeight="1" x14ac:dyDescent="0.2">
      <c r="A727" s="58">
        <v>43688.74150462963</v>
      </c>
      <c r="B727" s="32">
        <v>589665</v>
      </c>
      <c r="C727" s="26">
        <v>13.63</v>
      </c>
      <c r="D727" s="86" t="s">
        <v>768</v>
      </c>
      <c r="E727" s="32">
        <f t="shared" si="21"/>
        <v>0</v>
      </c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  <c r="FJ727" s="25"/>
      <c r="FK727" s="25"/>
      <c r="FL727" s="25"/>
      <c r="FM727" s="25"/>
      <c r="FN727" s="25"/>
      <c r="FO727" s="25"/>
      <c r="FP727" s="25"/>
      <c r="FQ727" s="25"/>
      <c r="FR727" s="25"/>
      <c r="FS727" s="25"/>
      <c r="FT727" s="25"/>
      <c r="FU727" s="25"/>
      <c r="FV727" s="77"/>
      <c r="FW727" s="28"/>
      <c r="FX727" s="28"/>
      <c r="FY727" s="26"/>
      <c r="FZ727" s="26"/>
      <c r="GA727" s="26"/>
      <c r="GB727" s="26"/>
      <c r="GC727" s="26"/>
      <c r="GD727" s="26"/>
      <c r="GE727" s="26"/>
      <c r="GF727" s="26"/>
      <c r="GG727" s="26"/>
      <c r="GH727" s="26"/>
      <c r="GI727" s="26"/>
      <c r="GJ727" s="26"/>
      <c r="GK727" s="26"/>
      <c r="GL727" s="65"/>
      <c r="GM727" s="26"/>
      <c r="GN727" s="26"/>
      <c r="GO727" s="26"/>
      <c r="GP727" s="26"/>
      <c r="GQ727" s="26"/>
      <c r="GR727" s="26"/>
      <c r="GS727" s="64"/>
      <c r="GT727" s="26"/>
      <c r="GU727" s="26"/>
      <c r="GV727" s="26"/>
      <c r="GW727" s="26"/>
      <c r="GX727" s="64"/>
      <c r="GY727" s="26"/>
      <c r="GZ727" s="26"/>
      <c r="HA727" s="26"/>
      <c r="HB727" s="26"/>
      <c r="HC727" s="65"/>
      <c r="HD727" s="26"/>
      <c r="HE727" s="26"/>
      <c r="HF727" s="26">
        <v>13.63</v>
      </c>
      <c r="HG727" s="26"/>
      <c r="HH727" s="65"/>
      <c r="HI727" s="26"/>
      <c r="HJ727" s="26"/>
      <c r="HK727" s="25"/>
      <c r="HL727" s="25"/>
    </row>
    <row r="728" spans="1:220" ht="15.75" customHeight="1" x14ac:dyDescent="0.2">
      <c r="A728" s="58">
        <v>43689.558136574073</v>
      </c>
      <c r="B728" s="32">
        <v>589786</v>
      </c>
      <c r="C728" s="26">
        <v>55.369</v>
      </c>
      <c r="D728" s="86" t="s">
        <v>769</v>
      </c>
      <c r="E728" s="32">
        <f t="shared" si="21"/>
        <v>0</v>
      </c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  <c r="FJ728" s="25"/>
      <c r="FK728" s="25"/>
      <c r="FL728" s="25"/>
      <c r="FM728" s="25"/>
      <c r="FN728" s="25"/>
      <c r="FO728" s="25"/>
      <c r="FP728" s="25"/>
      <c r="FQ728" s="25"/>
      <c r="FR728" s="25"/>
      <c r="FS728" s="25"/>
      <c r="FT728" s="25"/>
      <c r="FU728" s="25"/>
      <c r="FV728" s="77"/>
      <c r="FW728" s="28"/>
      <c r="FX728" s="28"/>
      <c r="FY728" s="26"/>
      <c r="FZ728" s="26"/>
      <c r="GA728" s="26"/>
      <c r="GB728" s="26"/>
      <c r="GC728" s="26"/>
      <c r="GD728" s="26"/>
      <c r="GE728" s="26"/>
      <c r="GF728" s="26"/>
      <c r="GG728" s="26"/>
      <c r="GH728" s="26"/>
      <c r="GI728" s="26"/>
      <c r="GJ728" s="26"/>
      <c r="GK728" s="26"/>
      <c r="GL728" s="65"/>
      <c r="GM728" s="26"/>
      <c r="GN728" s="26"/>
      <c r="GO728" s="26"/>
      <c r="GP728" s="26"/>
      <c r="GQ728" s="26"/>
      <c r="GR728" s="26"/>
      <c r="GS728" s="64"/>
      <c r="GT728" s="26"/>
      <c r="GU728" s="26"/>
      <c r="GV728" s="26"/>
      <c r="GW728" s="26"/>
      <c r="GX728" s="64"/>
      <c r="GY728" s="26"/>
      <c r="GZ728" s="26"/>
      <c r="HA728" s="26"/>
      <c r="HB728" s="26"/>
      <c r="HC728" s="65"/>
      <c r="HD728" s="26"/>
      <c r="HE728" s="26">
        <v>55.369</v>
      </c>
      <c r="HF728" s="26"/>
      <c r="HG728" s="26"/>
      <c r="HH728" s="65"/>
      <c r="HI728" s="26"/>
      <c r="HJ728" s="26"/>
      <c r="HK728" s="25"/>
      <c r="HL728" s="25"/>
    </row>
    <row r="729" spans="1:220" ht="15.75" customHeight="1" x14ac:dyDescent="0.2">
      <c r="A729" s="58">
        <v>43689.115925925929</v>
      </c>
      <c r="B729" s="32">
        <v>589724</v>
      </c>
      <c r="C729" s="26">
        <v>56.213000000000001</v>
      </c>
      <c r="D729" s="86" t="s">
        <v>770</v>
      </c>
      <c r="E729" s="32">
        <f t="shared" si="21"/>
        <v>0</v>
      </c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  <c r="FJ729" s="25"/>
      <c r="FK729" s="25"/>
      <c r="FL729" s="25"/>
      <c r="FM729" s="25"/>
      <c r="FN729" s="25"/>
      <c r="FO729" s="25"/>
      <c r="FP729" s="25"/>
      <c r="FQ729" s="25"/>
      <c r="FR729" s="25"/>
      <c r="FS729" s="25"/>
      <c r="FT729" s="25"/>
      <c r="FU729" s="25"/>
      <c r="FV729" s="77"/>
      <c r="FW729" s="28"/>
      <c r="FX729" s="28"/>
      <c r="FY729" s="26"/>
      <c r="FZ729" s="26"/>
      <c r="GA729" s="26"/>
      <c r="GB729" s="26"/>
      <c r="GC729" s="26"/>
      <c r="GD729" s="26"/>
      <c r="GE729" s="26"/>
      <c r="GF729" s="26"/>
      <c r="GG729" s="26"/>
      <c r="GH729" s="26"/>
      <c r="GI729" s="26"/>
      <c r="GJ729" s="26"/>
      <c r="GK729" s="26"/>
      <c r="GL729" s="65"/>
      <c r="GM729" s="26"/>
      <c r="GN729" s="26"/>
      <c r="GO729" s="26"/>
      <c r="GP729" s="26"/>
      <c r="GQ729" s="26"/>
      <c r="GR729" s="26"/>
      <c r="GS729" s="64"/>
      <c r="GT729" s="26"/>
      <c r="GU729" s="26"/>
      <c r="GV729" s="26"/>
      <c r="GW729" s="26"/>
      <c r="GX729" s="64"/>
      <c r="GY729" s="26"/>
      <c r="GZ729" s="26"/>
      <c r="HA729" s="26"/>
      <c r="HB729" s="26"/>
      <c r="HC729" s="65"/>
      <c r="HD729" s="26"/>
      <c r="HE729" s="26">
        <v>56.213000000000001</v>
      </c>
      <c r="HF729" s="26"/>
      <c r="HG729" s="26"/>
      <c r="HH729" s="65"/>
      <c r="HI729" s="26"/>
      <c r="HJ729" s="26"/>
      <c r="HK729" s="25"/>
      <c r="HL729" s="25"/>
    </row>
    <row r="730" spans="1:220" ht="15.75" customHeight="1" x14ac:dyDescent="0.2">
      <c r="A730" s="58">
        <v>43688.74150462963</v>
      </c>
      <c r="B730" s="32">
        <v>589665</v>
      </c>
      <c r="C730" s="26">
        <v>14.21</v>
      </c>
      <c r="D730" s="86" t="s">
        <v>771</v>
      </c>
      <c r="E730" s="32">
        <f t="shared" si="21"/>
        <v>9.9999999999766942E-5</v>
      </c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  <c r="FJ730" s="25"/>
      <c r="FK730" s="25"/>
      <c r="FL730" s="25"/>
      <c r="FM730" s="25"/>
      <c r="FN730" s="25"/>
      <c r="FO730" s="25"/>
      <c r="FP730" s="25"/>
      <c r="FQ730" s="25"/>
      <c r="FR730" s="25"/>
      <c r="FS730" s="25"/>
      <c r="FT730" s="25"/>
      <c r="FU730" s="25"/>
      <c r="FV730" s="77"/>
      <c r="FW730" s="28"/>
      <c r="FX730" s="28"/>
      <c r="FY730" s="26"/>
      <c r="FZ730" s="26"/>
      <c r="GA730" s="26"/>
      <c r="GB730" s="26"/>
      <c r="GC730" s="26"/>
      <c r="GD730" s="26"/>
      <c r="GE730" s="26"/>
      <c r="GF730" s="26"/>
      <c r="GG730" s="26"/>
      <c r="GH730" s="26"/>
      <c r="GI730" s="26"/>
      <c r="GJ730" s="26"/>
      <c r="GK730" s="26"/>
      <c r="GL730" s="65"/>
      <c r="GM730" s="26"/>
      <c r="GN730" s="26"/>
      <c r="GO730" s="26"/>
      <c r="GP730" s="26"/>
      <c r="GQ730" s="26"/>
      <c r="GR730" s="26"/>
      <c r="GS730" s="64"/>
      <c r="GT730" s="26"/>
      <c r="GU730" s="26"/>
      <c r="GV730" s="26"/>
      <c r="GW730" s="26"/>
      <c r="GX730" s="64"/>
      <c r="GY730" s="26"/>
      <c r="GZ730" s="26"/>
      <c r="HA730" s="26"/>
      <c r="HB730" s="26"/>
      <c r="HC730" s="65"/>
      <c r="HD730" s="26"/>
      <c r="HE730" s="26">
        <v>4.1909999999999998</v>
      </c>
      <c r="HF730" s="26">
        <v>10.0189</v>
      </c>
      <c r="HG730" s="26"/>
      <c r="HH730" s="65"/>
      <c r="HI730" s="26"/>
      <c r="HJ730" s="26"/>
      <c r="HK730" s="25"/>
      <c r="HL730" s="25"/>
    </row>
    <row r="731" spans="1:220" ht="15.75" customHeight="1" x14ac:dyDescent="0.2">
      <c r="A731" s="58">
        <v>43688.74150462963</v>
      </c>
      <c r="B731" s="32">
        <v>589665</v>
      </c>
      <c r="C731" s="26">
        <v>14.25</v>
      </c>
      <c r="D731" s="86" t="s">
        <v>772</v>
      </c>
      <c r="E731" s="32">
        <f t="shared" si="21"/>
        <v>1.0999999999992127E-3</v>
      </c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  <c r="FJ731" s="25"/>
      <c r="FK731" s="25"/>
      <c r="FL731" s="25"/>
      <c r="FM731" s="25"/>
      <c r="FN731" s="25"/>
      <c r="FO731" s="25"/>
      <c r="FP731" s="25"/>
      <c r="FQ731" s="25"/>
      <c r="FR731" s="25"/>
      <c r="FS731" s="25"/>
      <c r="FT731" s="25"/>
      <c r="FU731" s="25"/>
      <c r="FV731" s="77"/>
      <c r="FW731" s="28"/>
      <c r="FX731" s="28"/>
      <c r="FY731" s="26"/>
      <c r="FZ731" s="26"/>
      <c r="GA731" s="26"/>
      <c r="GB731" s="26"/>
      <c r="GC731" s="26"/>
      <c r="GD731" s="26"/>
      <c r="GE731" s="26"/>
      <c r="GF731" s="26"/>
      <c r="GG731" s="26"/>
      <c r="GH731" s="26"/>
      <c r="GI731" s="26"/>
      <c r="GJ731" s="26"/>
      <c r="GK731" s="26"/>
      <c r="GL731" s="65"/>
      <c r="GM731" s="26"/>
      <c r="GN731" s="26"/>
      <c r="GO731" s="26"/>
      <c r="GP731" s="26"/>
      <c r="GQ731" s="26"/>
      <c r="GR731" s="26"/>
      <c r="GS731" s="64"/>
      <c r="GT731" s="26"/>
      <c r="GU731" s="26"/>
      <c r="GV731" s="26"/>
      <c r="GW731" s="26"/>
      <c r="GX731" s="64"/>
      <c r="GY731" s="26"/>
      <c r="GZ731" s="26"/>
      <c r="HA731" s="26"/>
      <c r="HB731" s="26"/>
      <c r="HC731" s="65"/>
      <c r="HD731" s="26"/>
      <c r="HE731" s="26">
        <v>4.2300000000000004</v>
      </c>
      <c r="HF731" s="26">
        <v>10.0189</v>
      </c>
      <c r="HG731" s="26"/>
      <c r="HH731" s="65"/>
      <c r="HI731" s="26"/>
      <c r="HJ731" s="26"/>
      <c r="HK731" s="25"/>
      <c r="HL731" s="25"/>
    </row>
    <row r="732" spans="1:220" ht="15.75" customHeight="1" x14ac:dyDescent="0.2">
      <c r="A732" s="58">
        <v>43690.119953703703</v>
      </c>
      <c r="B732" s="32">
        <v>589858</v>
      </c>
      <c r="C732" s="26">
        <v>56.21</v>
      </c>
      <c r="D732" s="86" t="s">
        <v>773</v>
      </c>
      <c r="E732" s="32">
        <f t="shared" si="21"/>
        <v>0</v>
      </c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  <c r="FJ732" s="25"/>
      <c r="FK732" s="25"/>
      <c r="FL732" s="25"/>
      <c r="FM732" s="25"/>
      <c r="FN732" s="25"/>
      <c r="FO732" s="25"/>
      <c r="FP732" s="25"/>
      <c r="FQ732" s="25"/>
      <c r="FR732" s="25"/>
      <c r="FS732" s="25"/>
      <c r="FT732" s="25"/>
      <c r="FU732" s="25"/>
      <c r="FV732" s="77"/>
      <c r="FW732" s="28"/>
      <c r="FX732" s="28"/>
      <c r="FY732" s="26"/>
      <c r="FZ732" s="26"/>
      <c r="GA732" s="26"/>
      <c r="GB732" s="26"/>
      <c r="GC732" s="26"/>
      <c r="GD732" s="26"/>
      <c r="GE732" s="26"/>
      <c r="GF732" s="26"/>
      <c r="GG732" s="26"/>
      <c r="GH732" s="26"/>
      <c r="GI732" s="26"/>
      <c r="GJ732" s="26"/>
      <c r="GK732" s="26"/>
      <c r="GL732" s="65"/>
      <c r="GM732" s="26"/>
      <c r="GN732" s="26"/>
      <c r="GO732" s="26"/>
      <c r="GP732" s="26"/>
      <c r="GQ732" s="26"/>
      <c r="GR732" s="26"/>
      <c r="GS732" s="64"/>
      <c r="GT732" s="26"/>
      <c r="GU732" s="26"/>
      <c r="GV732" s="26"/>
      <c r="GW732" s="26"/>
      <c r="GX732" s="64"/>
      <c r="GY732" s="26"/>
      <c r="GZ732" s="26"/>
      <c r="HA732" s="26"/>
      <c r="HB732" s="26"/>
      <c r="HC732" s="65"/>
      <c r="HD732" s="26">
        <v>30</v>
      </c>
      <c r="HE732" s="26">
        <v>26.21</v>
      </c>
      <c r="HF732" s="26"/>
      <c r="HG732" s="26"/>
      <c r="HH732" s="65"/>
      <c r="HI732" s="26"/>
      <c r="HJ732" s="26"/>
      <c r="HK732" s="25"/>
      <c r="HL732" s="25"/>
    </row>
    <row r="733" spans="1:220" ht="15.75" customHeight="1" x14ac:dyDescent="0.2">
      <c r="A733" s="58">
        <v>43690.138819444444</v>
      </c>
      <c r="B733" s="32">
        <v>589862</v>
      </c>
      <c r="C733" s="26">
        <v>14.85</v>
      </c>
      <c r="D733" s="86" t="s">
        <v>774</v>
      </c>
      <c r="E733" s="32">
        <f t="shared" si="21"/>
        <v>0</v>
      </c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  <c r="FJ733" s="25"/>
      <c r="FK733" s="25"/>
      <c r="FL733" s="25"/>
      <c r="FM733" s="25"/>
      <c r="FN733" s="25"/>
      <c r="FO733" s="25"/>
      <c r="FP733" s="25"/>
      <c r="FQ733" s="25"/>
      <c r="FR733" s="25"/>
      <c r="FS733" s="25"/>
      <c r="FT733" s="25"/>
      <c r="FU733" s="25"/>
      <c r="FV733" s="77"/>
      <c r="FW733" s="28"/>
      <c r="FX733" s="28"/>
      <c r="FY733" s="26"/>
      <c r="FZ733" s="26"/>
      <c r="GA733" s="26"/>
      <c r="GB733" s="26"/>
      <c r="GC733" s="26"/>
      <c r="GD733" s="26"/>
      <c r="GE733" s="26"/>
      <c r="GF733" s="26"/>
      <c r="GG733" s="26"/>
      <c r="GH733" s="26"/>
      <c r="GI733" s="26"/>
      <c r="GJ733" s="26"/>
      <c r="GK733" s="26"/>
      <c r="GL733" s="65"/>
      <c r="GM733" s="26"/>
      <c r="GN733" s="26"/>
      <c r="GO733" s="26"/>
      <c r="GP733" s="26"/>
      <c r="GQ733" s="26"/>
      <c r="GR733" s="26"/>
      <c r="GS733" s="64"/>
      <c r="GT733" s="26"/>
      <c r="GU733" s="26"/>
      <c r="GV733" s="26"/>
      <c r="GW733" s="26"/>
      <c r="GX733" s="64"/>
      <c r="GY733" s="26"/>
      <c r="GZ733" s="26"/>
      <c r="HA733" s="26"/>
      <c r="HB733" s="26"/>
      <c r="HC733" s="65"/>
      <c r="HD733" s="26"/>
      <c r="HE733" s="26">
        <v>14.85</v>
      </c>
      <c r="HF733" s="26"/>
      <c r="HG733" s="26"/>
      <c r="HH733" s="65"/>
      <c r="HI733" s="26"/>
      <c r="HJ733" s="26"/>
      <c r="HK733" s="25"/>
      <c r="HL733" s="25"/>
    </row>
    <row r="734" spans="1:220" ht="15.75" customHeight="1" x14ac:dyDescent="0.2">
      <c r="A734" s="58">
        <v>43688.747499999998</v>
      </c>
      <c r="B734" s="32">
        <v>589666</v>
      </c>
      <c r="C734" s="26">
        <v>14.04</v>
      </c>
      <c r="D734" s="86" t="s">
        <v>775</v>
      </c>
      <c r="E734" s="32">
        <f t="shared" si="21"/>
        <v>-0.36400000000000077</v>
      </c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  <c r="FJ734" s="25"/>
      <c r="FK734" s="25"/>
      <c r="FL734" s="25"/>
      <c r="FM734" s="25"/>
      <c r="FN734" s="25"/>
      <c r="FO734" s="25"/>
      <c r="FP734" s="25"/>
      <c r="FQ734" s="25"/>
      <c r="FR734" s="25"/>
      <c r="FS734" s="25"/>
      <c r="FT734" s="25"/>
      <c r="FU734" s="25"/>
      <c r="FV734" s="77"/>
      <c r="FW734" s="28"/>
      <c r="FX734" s="28"/>
      <c r="FY734" s="26"/>
      <c r="FZ734" s="26"/>
      <c r="GA734" s="26"/>
      <c r="GB734" s="26"/>
      <c r="GC734" s="26"/>
      <c r="GD734" s="26"/>
      <c r="GE734" s="26"/>
      <c r="GF734" s="26"/>
      <c r="GG734" s="26"/>
      <c r="GH734" s="26"/>
      <c r="GI734" s="26"/>
      <c r="GJ734" s="26"/>
      <c r="GK734" s="26"/>
      <c r="GL734" s="65"/>
      <c r="GM734" s="26"/>
      <c r="GN734" s="26"/>
      <c r="GO734" s="26"/>
      <c r="GP734" s="26"/>
      <c r="GQ734" s="26"/>
      <c r="GR734" s="26"/>
      <c r="GS734" s="64"/>
      <c r="GT734" s="26"/>
      <c r="GU734" s="26"/>
      <c r="GV734" s="26"/>
      <c r="GW734" s="26"/>
      <c r="GX734" s="64"/>
      <c r="GY734" s="26"/>
      <c r="GZ734" s="26"/>
      <c r="HA734" s="26"/>
      <c r="HB734" s="26"/>
      <c r="HC734" s="65"/>
      <c r="HD734" s="26"/>
      <c r="HE734" s="26">
        <v>4.3849999999999998</v>
      </c>
      <c r="HF734" s="26">
        <v>10.019</v>
      </c>
      <c r="HG734" s="26"/>
      <c r="HH734" s="65"/>
      <c r="HI734" s="26"/>
      <c r="HJ734" s="26"/>
      <c r="HK734" s="25"/>
      <c r="HL734" s="25"/>
    </row>
    <row r="735" spans="1:220" ht="15.75" customHeight="1" x14ac:dyDescent="0.2">
      <c r="A735" s="58">
        <v>43689.414143518516</v>
      </c>
      <c r="B735" s="32">
        <v>589764</v>
      </c>
      <c r="C735" s="26">
        <v>100</v>
      </c>
      <c r="D735" s="86" t="s">
        <v>776</v>
      </c>
      <c r="E735" s="32">
        <f t="shared" si="21"/>
        <v>0</v>
      </c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  <c r="FJ735" s="25"/>
      <c r="FK735" s="25"/>
      <c r="FL735" s="25"/>
      <c r="FM735" s="25"/>
      <c r="FN735" s="25"/>
      <c r="FO735" s="25"/>
      <c r="FP735" s="25"/>
      <c r="FQ735" s="25"/>
      <c r="FR735" s="25"/>
      <c r="FS735" s="25"/>
      <c r="FT735" s="25"/>
      <c r="FU735" s="25"/>
      <c r="FV735" s="77"/>
      <c r="FW735" s="28"/>
      <c r="FX735" s="28"/>
      <c r="FY735" s="26"/>
      <c r="FZ735" s="26"/>
      <c r="GA735" s="26"/>
      <c r="GB735" s="26"/>
      <c r="GC735" s="26"/>
      <c r="GD735" s="26"/>
      <c r="GE735" s="26"/>
      <c r="GF735" s="26"/>
      <c r="GG735" s="26"/>
      <c r="GH735" s="26"/>
      <c r="GI735" s="26"/>
      <c r="GJ735" s="26"/>
      <c r="GK735" s="26"/>
      <c r="GL735" s="65"/>
      <c r="GM735" s="26"/>
      <c r="GN735" s="26"/>
      <c r="GO735" s="26"/>
      <c r="GP735" s="26"/>
      <c r="GQ735" s="26"/>
      <c r="GR735" s="26"/>
      <c r="GS735" s="64"/>
      <c r="GT735" s="26"/>
      <c r="GU735" s="26"/>
      <c r="GV735" s="26"/>
      <c r="GW735" s="26"/>
      <c r="GX735" s="64"/>
      <c r="GY735" s="26"/>
      <c r="GZ735" s="26"/>
      <c r="HA735" s="26"/>
      <c r="HB735" s="26"/>
      <c r="HC735" s="65"/>
      <c r="HD735" s="26"/>
      <c r="HE735" s="26">
        <v>100</v>
      </c>
      <c r="HF735" s="26"/>
      <c r="HG735" s="26"/>
      <c r="HH735" s="65"/>
      <c r="HI735" s="26"/>
      <c r="HJ735" s="26"/>
      <c r="HK735" s="25"/>
      <c r="HL735" s="25"/>
    </row>
    <row r="736" spans="1:220" ht="15.75" customHeight="1" x14ac:dyDescent="0.2">
      <c r="A736" s="58">
        <v>43690.080185185187</v>
      </c>
      <c r="B736" s="32">
        <v>589854</v>
      </c>
      <c r="C736" s="26">
        <v>90</v>
      </c>
      <c r="D736" s="86" t="s">
        <v>777</v>
      </c>
      <c r="E736" s="32">
        <f t="shared" si="21"/>
        <v>0</v>
      </c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  <c r="FJ736" s="25"/>
      <c r="FK736" s="25"/>
      <c r="FL736" s="25"/>
      <c r="FM736" s="25"/>
      <c r="FN736" s="25"/>
      <c r="FO736" s="25"/>
      <c r="FP736" s="25"/>
      <c r="FQ736" s="25"/>
      <c r="FR736" s="25"/>
      <c r="FS736" s="25"/>
      <c r="FT736" s="25"/>
      <c r="FU736" s="25"/>
      <c r="FV736" s="77"/>
      <c r="FW736" s="28"/>
      <c r="FX736" s="28"/>
      <c r="FY736" s="26"/>
      <c r="FZ736" s="26"/>
      <c r="GA736" s="26"/>
      <c r="GB736" s="26"/>
      <c r="GC736" s="26"/>
      <c r="GD736" s="26"/>
      <c r="GE736" s="26"/>
      <c r="GF736" s="26"/>
      <c r="GG736" s="26"/>
      <c r="GH736" s="26"/>
      <c r="GI736" s="26"/>
      <c r="GJ736" s="26"/>
      <c r="GK736" s="26"/>
      <c r="GL736" s="65"/>
      <c r="GM736" s="26"/>
      <c r="GN736" s="26"/>
      <c r="GO736" s="26"/>
      <c r="GP736" s="26"/>
      <c r="GQ736" s="26"/>
      <c r="GR736" s="26"/>
      <c r="GS736" s="64"/>
      <c r="GT736" s="26"/>
      <c r="GU736" s="26"/>
      <c r="GV736" s="26"/>
      <c r="GW736" s="26"/>
      <c r="GX736" s="64"/>
      <c r="GY736" s="26"/>
      <c r="GZ736" s="26"/>
      <c r="HA736" s="26"/>
      <c r="HB736" s="26"/>
      <c r="HC736" s="65"/>
      <c r="HD736" s="26"/>
      <c r="HE736" s="26">
        <v>90</v>
      </c>
      <c r="HF736" s="26"/>
      <c r="HG736" s="26"/>
      <c r="HH736" s="65"/>
      <c r="HI736" s="26"/>
      <c r="HJ736" s="26"/>
      <c r="HK736" s="25"/>
      <c r="HL736" s="25"/>
    </row>
    <row r="737" spans="1:220" ht="15.75" customHeight="1" x14ac:dyDescent="0.2">
      <c r="A737" s="58">
        <v>43686.959548611114</v>
      </c>
      <c r="B737" s="32">
        <v>589392</v>
      </c>
      <c r="C737" s="26">
        <v>51.89</v>
      </c>
      <c r="D737" s="86" t="s">
        <v>778</v>
      </c>
      <c r="E737" s="32">
        <f t="shared" si="21"/>
        <v>0</v>
      </c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  <c r="FJ737" s="25"/>
      <c r="FK737" s="25"/>
      <c r="FL737" s="25"/>
      <c r="FM737" s="25"/>
      <c r="FN737" s="25"/>
      <c r="FO737" s="25"/>
      <c r="FP737" s="25"/>
      <c r="FQ737" s="25"/>
      <c r="FR737" s="25"/>
      <c r="FS737" s="25"/>
      <c r="FT737" s="25"/>
      <c r="FU737" s="25"/>
      <c r="FV737" s="77"/>
      <c r="FW737" s="28"/>
      <c r="FX737" s="28"/>
      <c r="FY737" s="26"/>
      <c r="FZ737" s="26"/>
      <c r="GA737" s="26"/>
      <c r="GB737" s="26"/>
      <c r="GC737" s="26"/>
      <c r="GD737" s="26"/>
      <c r="GE737" s="26"/>
      <c r="GF737" s="26"/>
      <c r="GG737" s="26"/>
      <c r="GH737" s="26"/>
      <c r="GI737" s="26"/>
      <c r="GJ737" s="26"/>
      <c r="GK737" s="26"/>
      <c r="GL737" s="65"/>
      <c r="GM737" s="26"/>
      <c r="GN737" s="26"/>
      <c r="GO737" s="26"/>
      <c r="GP737" s="26"/>
      <c r="GQ737" s="26"/>
      <c r="GR737" s="26"/>
      <c r="GS737" s="64"/>
      <c r="GT737" s="26"/>
      <c r="GU737" s="26"/>
      <c r="GV737" s="26"/>
      <c r="GW737" s="26"/>
      <c r="GX737" s="64"/>
      <c r="GY737" s="26"/>
      <c r="GZ737" s="26"/>
      <c r="HA737" s="26"/>
      <c r="HB737" s="26"/>
      <c r="HC737" s="65"/>
      <c r="HD737" s="26"/>
      <c r="HE737" s="26">
        <v>51.89</v>
      </c>
      <c r="HF737" s="26"/>
      <c r="HG737" s="26"/>
      <c r="HH737" s="65"/>
      <c r="HI737" s="26"/>
      <c r="HJ737" s="26"/>
      <c r="HK737" s="25"/>
      <c r="HL737" s="25"/>
    </row>
    <row r="738" spans="1:220" ht="15.75" customHeight="1" x14ac:dyDescent="0.2">
      <c r="A738" s="58">
        <v>43690.123425925929</v>
      </c>
      <c r="B738" s="32">
        <v>589859</v>
      </c>
      <c r="C738" s="26">
        <v>57.16</v>
      </c>
      <c r="D738" s="86" t="s">
        <v>779</v>
      </c>
      <c r="E738" s="32">
        <f t="shared" si="21"/>
        <v>0</v>
      </c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  <c r="FJ738" s="25"/>
      <c r="FK738" s="25"/>
      <c r="FL738" s="25"/>
      <c r="FM738" s="25"/>
      <c r="FN738" s="25"/>
      <c r="FO738" s="25"/>
      <c r="FP738" s="25"/>
      <c r="FQ738" s="25"/>
      <c r="FR738" s="25"/>
      <c r="FS738" s="25"/>
      <c r="FT738" s="25"/>
      <c r="FU738" s="25"/>
      <c r="FV738" s="77"/>
      <c r="FW738" s="28"/>
      <c r="FX738" s="28"/>
      <c r="FY738" s="26"/>
      <c r="FZ738" s="26"/>
      <c r="GA738" s="26"/>
      <c r="GB738" s="26"/>
      <c r="GC738" s="26"/>
      <c r="GD738" s="26"/>
      <c r="GE738" s="26"/>
      <c r="GF738" s="26"/>
      <c r="GG738" s="26"/>
      <c r="GH738" s="26"/>
      <c r="GI738" s="26"/>
      <c r="GJ738" s="26"/>
      <c r="GK738" s="26"/>
      <c r="GL738" s="65"/>
      <c r="GM738" s="26"/>
      <c r="GN738" s="26"/>
      <c r="GO738" s="26"/>
      <c r="GP738" s="26"/>
      <c r="GQ738" s="26"/>
      <c r="GR738" s="26"/>
      <c r="GS738" s="64"/>
      <c r="GT738" s="26"/>
      <c r="GU738" s="26"/>
      <c r="GV738" s="26"/>
      <c r="GW738" s="26"/>
      <c r="GX738" s="64"/>
      <c r="GY738" s="26"/>
      <c r="GZ738" s="26"/>
      <c r="HA738" s="26"/>
      <c r="HB738" s="26"/>
      <c r="HC738" s="65"/>
      <c r="HD738" s="26"/>
      <c r="HE738" s="26">
        <v>57.16</v>
      </c>
      <c r="HF738" s="26"/>
      <c r="HG738" s="26"/>
      <c r="HH738" s="65"/>
      <c r="HI738" s="26"/>
      <c r="HJ738" s="26"/>
      <c r="HK738" s="25"/>
      <c r="HL738" s="25"/>
    </row>
    <row r="739" spans="1:220" ht="15.75" customHeight="1" x14ac:dyDescent="0.2">
      <c r="A739" s="58">
        <v>43686.96943287037</v>
      </c>
      <c r="B739" s="32">
        <v>589395</v>
      </c>
      <c r="C739" s="26">
        <v>57.527000000000001</v>
      </c>
      <c r="D739" s="86" t="s">
        <v>780</v>
      </c>
      <c r="E739" s="32">
        <f t="shared" si="21"/>
        <v>0</v>
      </c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  <c r="FJ739" s="25"/>
      <c r="FK739" s="25"/>
      <c r="FL739" s="25"/>
      <c r="FM739" s="25"/>
      <c r="FN739" s="25"/>
      <c r="FO739" s="25"/>
      <c r="FP739" s="25"/>
      <c r="FQ739" s="25"/>
      <c r="FR739" s="25"/>
      <c r="FS739" s="25"/>
      <c r="FT739" s="25"/>
      <c r="FU739" s="25"/>
      <c r="FV739" s="77"/>
      <c r="FW739" s="28"/>
      <c r="FX739" s="28"/>
      <c r="FY739" s="26"/>
      <c r="FZ739" s="26"/>
      <c r="GA739" s="26"/>
      <c r="GB739" s="26"/>
      <c r="GC739" s="26"/>
      <c r="GD739" s="26"/>
      <c r="GE739" s="26"/>
      <c r="GF739" s="26"/>
      <c r="GG739" s="26"/>
      <c r="GH739" s="26"/>
      <c r="GI739" s="26"/>
      <c r="GJ739" s="26"/>
      <c r="GK739" s="26"/>
      <c r="GL739" s="65"/>
      <c r="GM739" s="26"/>
      <c r="GN739" s="26"/>
      <c r="GO739" s="26"/>
      <c r="GP739" s="26"/>
      <c r="GQ739" s="26"/>
      <c r="GR739" s="26"/>
      <c r="GS739" s="64"/>
      <c r="GT739" s="26"/>
      <c r="GU739" s="26"/>
      <c r="GV739" s="26"/>
      <c r="GW739" s="26"/>
      <c r="GX739" s="64"/>
      <c r="GY739" s="26"/>
      <c r="GZ739" s="26"/>
      <c r="HA739" s="26"/>
      <c r="HB739" s="26"/>
      <c r="HC739" s="65"/>
      <c r="HD739" s="26"/>
      <c r="HE739" s="26">
        <v>57.527000000000001</v>
      </c>
      <c r="HF739" s="26"/>
      <c r="HG739" s="26"/>
      <c r="HH739" s="65"/>
      <c r="HI739" s="26"/>
      <c r="HJ739" s="26"/>
      <c r="HK739" s="25"/>
      <c r="HL739" s="25"/>
    </row>
    <row r="740" spans="1:220" ht="15.75" customHeight="1" x14ac:dyDescent="0.2">
      <c r="A740" s="58">
        <v>43689.115925925929</v>
      </c>
      <c r="B740" s="32">
        <v>589724</v>
      </c>
      <c r="C740" s="26">
        <v>62.33</v>
      </c>
      <c r="D740" s="86" t="s">
        <v>781</v>
      </c>
      <c r="E740" s="32">
        <f t="shared" si="21"/>
        <v>0</v>
      </c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  <c r="FJ740" s="25"/>
      <c r="FK740" s="25"/>
      <c r="FL740" s="25"/>
      <c r="FM740" s="25"/>
      <c r="FN740" s="25"/>
      <c r="FO740" s="25"/>
      <c r="FP740" s="25"/>
      <c r="FQ740" s="25"/>
      <c r="FR740" s="25"/>
      <c r="FS740" s="25"/>
      <c r="FT740" s="25"/>
      <c r="FU740" s="25"/>
      <c r="FV740" s="77"/>
      <c r="FW740" s="28"/>
      <c r="FX740" s="28"/>
      <c r="FY740" s="26"/>
      <c r="FZ740" s="26"/>
      <c r="GA740" s="26"/>
      <c r="GB740" s="26"/>
      <c r="GC740" s="26"/>
      <c r="GD740" s="26"/>
      <c r="GE740" s="26"/>
      <c r="GF740" s="26"/>
      <c r="GG740" s="26"/>
      <c r="GH740" s="26"/>
      <c r="GI740" s="26"/>
      <c r="GJ740" s="26"/>
      <c r="GK740" s="26"/>
      <c r="GL740" s="65"/>
      <c r="GM740" s="26"/>
      <c r="GN740" s="26"/>
      <c r="GO740" s="26"/>
      <c r="GP740" s="26"/>
      <c r="GQ740" s="26"/>
      <c r="GR740" s="26"/>
      <c r="GS740" s="64"/>
      <c r="GT740" s="26"/>
      <c r="GU740" s="26"/>
      <c r="GV740" s="26"/>
      <c r="GW740" s="26"/>
      <c r="GX740" s="64"/>
      <c r="GY740" s="26"/>
      <c r="GZ740" s="26"/>
      <c r="HA740" s="26"/>
      <c r="HB740" s="26"/>
      <c r="HC740" s="65"/>
      <c r="HD740" s="26"/>
      <c r="HE740" s="26">
        <v>62.33</v>
      </c>
      <c r="HF740" s="26"/>
      <c r="HG740" s="26"/>
      <c r="HH740" s="65"/>
      <c r="HI740" s="26"/>
      <c r="HJ740" s="26"/>
      <c r="HK740" s="25"/>
      <c r="HL740" s="25"/>
    </row>
    <row r="741" spans="1:220" ht="15.75" customHeight="1" x14ac:dyDescent="0.2">
      <c r="A741" s="58">
        <v>43689.110462962963</v>
      </c>
      <c r="B741" s="32">
        <v>589723</v>
      </c>
      <c r="C741" s="26">
        <v>63.06</v>
      </c>
      <c r="D741" s="86" t="s">
        <v>782</v>
      </c>
      <c r="E741" s="32">
        <f t="shared" si="21"/>
        <v>0</v>
      </c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  <c r="FJ741" s="25"/>
      <c r="FK741" s="25"/>
      <c r="FL741" s="25"/>
      <c r="FM741" s="25"/>
      <c r="FN741" s="25"/>
      <c r="FO741" s="25"/>
      <c r="FP741" s="25"/>
      <c r="FQ741" s="25"/>
      <c r="FR741" s="25"/>
      <c r="FS741" s="25"/>
      <c r="FT741" s="25"/>
      <c r="FU741" s="25"/>
      <c r="FV741" s="77"/>
      <c r="FW741" s="28"/>
      <c r="FX741" s="28"/>
      <c r="FY741" s="26"/>
      <c r="FZ741" s="26"/>
      <c r="GA741" s="26"/>
      <c r="GB741" s="26"/>
      <c r="GC741" s="26"/>
      <c r="GD741" s="26"/>
      <c r="GE741" s="26"/>
      <c r="GF741" s="26"/>
      <c r="GG741" s="26"/>
      <c r="GH741" s="26"/>
      <c r="GI741" s="26"/>
      <c r="GJ741" s="26"/>
      <c r="GK741" s="26"/>
      <c r="GL741" s="65"/>
      <c r="GM741" s="26"/>
      <c r="GN741" s="26"/>
      <c r="GO741" s="26"/>
      <c r="GP741" s="26"/>
      <c r="GQ741" s="26"/>
      <c r="GR741" s="26"/>
      <c r="GS741" s="64"/>
      <c r="GT741" s="26"/>
      <c r="GU741" s="26"/>
      <c r="GV741" s="26"/>
      <c r="GW741" s="26"/>
      <c r="GX741" s="64"/>
      <c r="GY741" s="26"/>
      <c r="GZ741" s="26"/>
      <c r="HA741" s="26"/>
      <c r="HB741" s="26"/>
      <c r="HC741" s="65"/>
      <c r="HD741" s="26"/>
      <c r="HE741" s="26"/>
      <c r="HF741" s="26">
        <v>63.06</v>
      </c>
      <c r="HG741" s="26"/>
      <c r="HH741" s="65"/>
      <c r="HI741" s="26"/>
      <c r="HJ741" s="26"/>
      <c r="HK741" s="25"/>
      <c r="HL741" s="25"/>
    </row>
    <row r="742" spans="1:220" ht="15.75" customHeight="1" x14ac:dyDescent="0.2">
      <c r="A742" s="58">
        <v>43689.558136574073</v>
      </c>
      <c r="B742" s="32">
        <v>589786</v>
      </c>
      <c r="C742" s="26">
        <v>66.388000000000005</v>
      </c>
      <c r="D742" s="86" t="s">
        <v>783</v>
      </c>
      <c r="E742" s="32">
        <f t="shared" si="21"/>
        <v>0</v>
      </c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  <c r="FJ742" s="25"/>
      <c r="FK742" s="25"/>
      <c r="FL742" s="25"/>
      <c r="FM742" s="25"/>
      <c r="FN742" s="25"/>
      <c r="FO742" s="25"/>
      <c r="FP742" s="25"/>
      <c r="FQ742" s="25"/>
      <c r="FR742" s="25"/>
      <c r="FS742" s="25"/>
      <c r="FT742" s="25"/>
      <c r="FU742" s="25"/>
      <c r="FV742" s="77"/>
      <c r="FW742" s="28"/>
      <c r="FX742" s="28"/>
      <c r="FY742" s="26"/>
      <c r="FZ742" s="26"/>
      <c r="GA742" s="26"/>
      <c r="GB742" s="26"/>
      <c r="GC742" s="26"/>
      <c r="GD742" s="26"/>
      <c r="GE742" s="26"/>
      <c r="GF742" s="26"/>
      <c r="GG742" s="26"/>
      <c r="GH742" s="26"/>
      <c r="GI742" s="26"/>
      <c r="GJ742" s="26"/>
      <c r="GK742" s="26"/>
      <c r="GL742" s="65"/>
      <c r="GM742" s="26"/>
      <c r="GN742" s="26"/>
      <c r="GO742" s="26"/>
      <c r="GP742" s="26"/>
      <c r="GQ742" s="26"/>
      <c r="GR742" s="26"/>
      <c r="GS742" s="64"/>
      <c r="GT742" s="26"/>
      <c r="GU742" s="26"/>
      <c r="GV742" s="26"/>
      <c r="GW742" s="26"/>
      <c r="GX742" s="64"/>
      <c r="GY742" s="26"/>
      <c r="GZ742" s="26"/>
      <c r="HA742" s="26"/>
      <c r="HB742" s="26"/>
      <c r="HC742" s="65"/>
      <c r="HD742" s="26"/>
      <c r="HE742" s="26">
        <v>66.388000000000005</v>
      </c>
      <c r="HF742" s="26"/>
      <c r="HG742" s="26"/>
      <c r="HH742" s="65"/>
      <c r="HI742" s="26"/>
      <c r="HJ742" s="26"/>
      <c r="HK742" s="25"/>
      <c r="HL742" s="25"/>
    </row>
    <row r="743" spans="1:220" ht="15.75" customHeight="1" x14ac:dyDescent="0.2">
      <c r="A743" s="58">
        <v>43689.833657407406</v>
      </c>
      <c r="B743" s="32">
        <v>589827</v>
      </c>
      <c r="C743" s="26">
        <v>69.010000000000005</v>
      </c>
      <c r="D743" s="86" t="s">
        <v>784</v>
      </c>
      <c r="E743" s="32">
        <f t="shared" si="21"/>
        <v>0</v>
      </c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  <c r="FJ743" s="25"/>
      <c r="FK743" s="25"/>
      <c r="FL743" s="25"/>
      <c r="FM743" s="25"/>
      <c r="FN743" s="25"/>
      <c r="FO743" s="25"/>
      <c r="FP743" s="25"/>
      <c r="FQ743" s="25"/>
      <c r="FR743" s="25"/>
      <c r="FS743" s="25"/>
      <c r="FT743" s="25"/>
      <c r="FU743" s="25"/>
      <c r="FV743" s="77"/>
      <c r="FW743" s="28"/>
      <c r="FX743" s="28"/>
      <c r="FY743" s="26"/>
      <c r="FZ743" s="26"/>
      <c r="GA743" s="26"/>
      <c r="GB743" s="26"/>
      <c r="GC743" s="26"/>
      <c r="GD743" s="26"/>
      <c r="GE743" s="26"/>
      <c r="GF743" s="26"/>
      <c r="GG743" s="26"/>
      <c r="GH743" s="26"/>
      <c r="GI743" s="26"/>
      <c r="GJ743" s="26"/>
      <c r="GK743" s="26"/>
      <c r="GL743" s="65"/>
      <c r="GM743" s="26"/>
      <c r="GN743" s="26"/>
      <c r="GO743" s="26"/>
      <c r="GP743" s="26"/>
      <c r="GQ743" s="26"/>
      <c r="GR743" s="26"/>
      <c r="GS743" s="64"/>
      <c r="GT743" s="26"/>
      <c r="GU743" s="26"/>
      <c r="GV743" s="26"/>
      <c r="GW743" s="26"/>
      <c r="GX743" s="64"/>
      <c r="GY743" s="26"/>
      <c r="GZ743" s="26"/>
      <c r="HA743" s="26"/>
      <c r="HB743" s="26"/>
      <c r="HC743" s="65"/>
      <c r="HD743" s="26"/>
      <c r="HE743" s="26">
        <v>69.010000000000005</v>
      </c>
      <c r="HF743" s="26"/>
      <c r="HG743" s="26"/>
      <c r="HH743" s="65"/>
      <c r="HI743" s="26"/>
      <c r="HJ743" s="26"/>
      <c r="HK743" s="25"/>
      <c r="HL743" s="25"/>
    </row>
    <row r="744" spans="1:220" ht="15.75" customHeight="1" x14ac:dyDescent="0.2">
      <c r="A744" s="58">
        <v>43689.115925925929</v>
      </c>
      <c r="B744" s="32">
        <v>589724</v>
      </c>
      <c r="C744" s="26">
        <v>41.784999999999997</v>
      </c>
      <c r="D744" s="86" t="s">
        <v>785</v>
      </c>
      <c r="E744" s="32">
        <f t="shared" si="21"/>
        <v>2.4999999999998579E-2</v>
      </c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  <c r="FJ744" s="25"/>
      <c r="FK744" s="25"/>
      <c r="FL744" s="25"/>
      <c r="FM744" s="25"/>
      <c r="FN744" s="25"/>
      <c r="FO744" s="25"/>
      <c r="FP744" s="25"/>
      <c r="FQ744" s="25"/>
      <c r="FR744" s="25"/>
      <c r="FS744" s="25"/>
      <c r="FT744" s="25"/>
      <c r="FU744" s="25"/>
      <c r="FV744" s="77"/>
      <c r="FW744" s="28"/>
      <c r="FX744" s="28"/>
      <c r="FY744" s="26"/>
      <c r="FZ744" s="26"/>
      <c r="GA744" s="26"/>
      <c r="GB744" s="26"/>
      <c r="GC744" s="26"/>
      <c r="GD744" s="26"/>
      <c r="GE744" s="26"/>
      <c r="GF744" s="26"/>
      <c r="GG744" s="26"/>
      <c r="GH744" s="26"/>
      <c r="GI744" s="26"/>
      <c r="GJ744" s="26"/>
      <c r="GK744" s="26"/>
      <c r="GL744" s="65"/>
      <c r="GM744" s="26"/>
      <c r="GN744" s="26"/>
      <c r="GO744" s="26"/>
      <c r="GP744" s="26"/>
      <c r="GQ744" s="26"/>
      <c r="GR744" s="26"/>
      <c r="GS744" s="64"/>
      <c r="GT744" s="26"/>
      <c r="GU744" s="26"/>
      <c r="GV744" s="26"/>
      <c r="GW744" s="26"/>
      <c r="GX744" s="64"/>
      <c r="GY744" s="26"/>
      <c r="GZ744" s="26"/>
      <c r="HA744" s="26"/>
      <c r="HB744" s="26"/>
      <c r="HC744" s="65"/>
      <c r="HD744" s="26"/>
      <c r="HE744" s="26">
        <v>1.76</v>
      </c>
      <c r="HF744" s="26">
        <v>40</v>
      </c>
      <c r="HG744" s="26"/>
      <c r="HH744" s="65"/>
      <c r="HI744" s="26"/>
      <c r="HJ744" s="26"/>
      <c r="HK744" s="25"/>
      <c r="HL744" s="25"/>
    </row>
    <row r="745" spans="1:220" ht="15.75" customHeight="1" x14ac:dyDescent="0.2">
      <c r="A745" s="58">
        <v>43688.74150462963</v>
      </c>
      <c r="B745" s="32">
        <v>589665</v>
      </c>
      <c r="C745" s="26">
        <v>14.68</v>
      </c>
      <c r="D745" s="86" t="s">
        <v>786</v>
      </c>
      <c r="E745" s="32">
        <f t="shared" si="21"/>
        <v>0</v>
      </c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  <c r="FJ745" s="25"/>
      <c r="FK745" s="25"/>
      <c r="FL745" s="25"/>
      <c r="FM745" s="25"/>
      <c r="FN745" s="25"/>
      <c r="FO745" s="25"/>
      <c r="FP745" s="25"/>
      <c r="FQ745" s="25"/>
      <c r="FR745" s="25"/>
      <c r="FS745" s="25"/>
      <c r="FT745" s="25"/>
      <c r="FU745" s="25"/>
      <c r="FV745" s="77"/>
      <c r="FW745" s="28"/>
      <c r="FX745" s="28"/>
      <c r="FY745" s="26"/>
      <c r="FZ745" s="26"/>
      <c r="GA745" s="26"/>
      <c r="GB745" s="26"/>
      <c r="GC745" s="26"/>
      <c r="GD745" s="26"/>
      <c r="GE745" s="26"/>
      <c r="GF745" s="26"/>
      <c r="GG745" s="26"/>
      <c r="GH745" s="26"/>
      <c r="GI745" s="26"/>
      <c r="GJ745" s="26"/>
      <c r="GK745" s="26"/>
      <c r="GL745" s="65"/>
      <c r="GM745" s="26"/>
      <c r="GN745" s="26"/>
      <c r="GO745" s="26"/>
      <c r="GP745" s="26"/>
      <c r="GQ745" s="26"/>
      <c r="GR745" s="26"/>
      <c r="GS745" s="64"/>
      <c r="GT745" s="26"/>
      <c r="GU745" s="26"/>
      <c r="GV745" s="26"/>
      <c r="GW745" s="26"/>
      <c r="GX745" s="64"/>
      <c r="GY745" s="26"/>
      <c r="GZ745" s="26"/>
      <c r="HA745" s="26"/>
      <c r="HB745" s="26"/>
      <c r="HC745" s="65"/>
      <c r="HD745" s="26"/>
      <c r="HE745" s="26">
        <v>4.68</v>
      </c>
      <c r="HF745" s="26">
        <v>10</v>
      </c>
      <c r="HG745" s="26"/>
      <c r="HH745" s="65"/>
      <c r="HI745" s="26"/>
      <c r="HJ745" s="26"/>
      <c r="HK745" s="25"/>
      <c r="HL745" s="25"/>
    </row>
    <row r="746" spans="1:220" ht="15.75" customHeight="1" x14ac:dyDescent="0.2">
      <c r="A746" s="58">
        <v>43689.110462962963</v>
      </c>
      <c r="B746" s="32">
        <v>589723</v>
      </c>
      <c r="C746" s="26">
        <v>74.91</v>
      </c>
      <c r="D746" s="86" t="s">
        <v>787</v>
      </c>
      <c r="E746" s="32">
        <f t="shared" si="21"/>
        <v>0</v>
      </c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  <c r="FJ746" s="25"/>
      <c r="FK746" s="25"/>
      <c r="FL746" s="25"/>
      <c r="FM746" s="25"/>
      <c r="FN746" s="25"/>
      <c r="FO746" s="25"/>
      <c r="FP746" s="25"/>
      <c r="FQ746" s="25"/>
      <c r="FR746" s="25"/>
      <c r="FS746" s="25"/>
      <c r="FT746" s="25"/>
      <c r="FU746" s="25"/>
      <c r="FV746" s="77"/>
      <c r="FW746" s="28"/>
      <c r="FX746" s="28"/>
      <c r="FY746" s="26"/>
      <c r="FZ746" s="26"/>
      <c r="GA746" s="26"/>
      <c r="GB746" s="26"/>
      <c r="GC746" s="26"/>
      <c r="GD746" s="26"/>
      <c r="GE746" s="26"/>
      <c r="GF746" s="26"/>
      <c r="GG746" s="26"/>
      <c r="GH746" s="26"/>
      <c r="GI746" s="26"/>
      <c r="GJ746" s="26"/>
      <c r="GK746" s="26"/>
      <c r="GL746" s="65"/>
      <c r="GM746" s="26"/>
      <c r="GN746" s="26"/>
      <c r="GO746" s="26"/>
      <c r="GP746" s="26"/>
      <c r="GQ746" s="26"/>
      <c r="GR746" s="26"/>
      <c r="GS746" s="64"/>
      <c r="GT746" s="26"/>
      <c r="GU746" s="26"/>
      <c r="GV746" s="26"/>
      <c r="GW746" s="26"/>
      <c r="GX746" s="64"/>
      <c r="GY746" s="26"/>
      <c r="GZ746" s="26"/>
      <c r="HA746" s="26"/>
      <c r="HB746" s="26"/>
      <c r="HC746" s="65"/>
      <c r="HD746" s="26"/>
      <c r="HE746" s="26"/>
      <c r="HF746" s="26">
        <v>74.91</v>
      </c>
      <c r="HG746" s="26"/>
      <c r="HH746" s="65"/>
      <c r="HI746" s="26"/>
      <c r="HJ746" s="26"/>
      <c r="HK746" s="25"/>
      <c r="HL746" s="25"/>
    </row>
    <row r="747" spans="1:220" ht="15.75" customHeight="1" x14ac:dyDescent="0.2">
      <c r="A747" s="58">
        <v>43686.959548611114</v>
      </c>
      <c r="B747" s="32">
        <v>589392</v>
      </c>
      <c r="C747" s="26">
        <v>42.74</v>
      </c>
      <c r="D747" s="86" t="s">
        <v>788</v>
      </c>
      <c r="E747" s="32">
        <f t="shared" si="21"/>
        <v>0</v>
      </c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  <c r="FJ747" s="25"/>
      <c r="FK747" s="25"/>
      <c r="FL747" s="25"/>
      <c r="FM747" s="25"/>
      <c r="FN747" s="25"/>
      <c r="FO747" s="25"/>
      <c r="FP747" s="25"/>
      <c r="FQ747" s="25"/>
      <c r="FR747" s="25"/>
      <c r="FS747" s="25"/>
      <c r="FT747" s="25"/>
      <c r="FU747" s="25"/>
      <c r="FV747" s="77"/>
      <c r="FW747" s="28"/>
      <c r="FX747" s="28"/>
      <c r="FY747" s="26"/>
      <c r="FZ747" s="26"/>
      <c r="GA747" s="26"/>
      <c r="GB747" s="26"/>
      <c r="GC747" s="26"/>
      <c r="GD747" s="26"/>
      <c r="GE747" s="26"/>
      <c r="GF747" s="26"/>
      <c r="GG747" s="26"/>
      <c r="GH747" s="26"/>
      <c r="GI747" s="26"/>
      <c r="GJ747" s="26"/>
      <c r="GK747" s="26"/>
      <c r="GL747" s="65"/>
      <c r="GM747" s="26"/>
      <c r="GN747" s="26"/>
      <c r="GO747" s="26"/>
      <c r="GP747" s="26"/>
      <c r="GQ747" s="26"/>
      <c r="GR747" s="26"/>
      <c r="GS747" s="64"/>
      <c r="GT747" s="26"/>
      <c r="GU747" s="26"/>
      <c r="GV747" s="26"/>
      <c r="GW747" s="26"/>
      <c r="GX747" s="64"/>
      <c r="GY747" s="26"/>
      <c r="GZ747" s="26"/>
      <c r="HA747" s="26"/>
      <c r="HB747" s="26"/>
      <c r="HC747" s="65"/>
      <c r="HD747" s="26"/>
      <c r="HE747" s="26"/>
      <c r="HF747" s="26">
        <v>42.74</v>
      </c>
      <c r="HG747" s="26"/>
      <c r="HH747" s="65"/>
      <c r="HI747" s="26"/>
      <c r="HJ747" s="26"/>
      <c r="HK747" s="25"/>
      <c r="HL747" s="25"/>
    </row>
    <row r="748" spans="1:220" ht="15.75" customHeight="1" x14ac:dyDescent="0.2">
      <c r="A748" s="58">
        <v>43690.085335648146</v>
      </c>
      <c r="B748" s="32">
        <v>589855</v>
      </c>
      <c r="C748" s="26">
        <v>77.819000000000003</v>
      </c>
      <c r="D748" s="86" t="s">
        <v>789</v>
      </c>
      <c r="E748" s="32">
        <f t="shared" si="21"/>
        <v>0</v>
      </c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  <c r="FJ748" s="25"/>
      <c r="FK748" s="25"/>
      <c r="FL748" s="25"/>
      <c r="FM748" s="25"/>
      <c r="FN748" s="25"/>
      <c r="FO748" s="25"/>
      <c r="FP748" s="25"/>
      <c r="FQ748" s="25"/>
      <c r="FR748" s="25"/>
      <c r="FS748" s="25"/>
      <c r="FT748" s="25"/>
      <c r="FU748" s="25"/>
      <c r="FV748" s="77"/>
      <c r="FW748" s="28"/>
      <c r="FX748" s="28"/>
      <c r="FY748" s="26"/>
      <c r="FZ748" s="26"/>
      <c r="GA748" s="26"/>
      <c r="GB748" s="26"/>
      <c r="GC748" s="26"/>
      <c r="GD748" s="26"/>
      <c r="GE748" s="26"/>
      <c r="GF748" s="26"/>
      <c r="GG748" s="26"/>
      <c r="GH748" s="26"/>
      <c r="GI748" s="26"/>
      <c r="GJ748" s="26"/>
      <c r="GK748" s="26"/>
      <c r="GL748" s="65"/>
      <c r="GM748" s="26"/>
      <c r="GN748" s="26"/>
      <c r="GO748" s="26"/>
      <c r="GP748" s="26"/>
      <c r="GQ748" s="26"/>
      <c r="GR748" s="26"/>
      <c r="GS748" s="64"/>
      <c r="GT748" s="26"/>
      <c r="GU748" s="26"/>
      <c r="GV748" s="26"/>
      <c r="GW748" s="26"/>
      <c r="GX748" s="64"/>
      <c r="GY748" s="26"/>
      <c r="GZ748" s="26"/>
      <c r="HA748" s="26"/>
      <c r="HB748" s="26"/>
      <c r="HC748" s="65"/>
      <c r="HD748" s="26"/>
      <c r="HE748" s="26"/>
      <c r="HF748" s="26">
        <v>77.819000000000003</v>
      </c>
      <c r="HG748" s="26"/>
      <c r="HH748" s="65"/>
      <c r="HI748" s="26"/>
      <c r="HJ748" s="26"/>
      <c r="HK748" s="25"/>
      <c r="HL748" s="25"/>
    </row>
    <row r="749" spans="1:220" ht="15.75" customHeight="1" x14ac:dyDescent="0.2">
      <c r="A749" s="58">
        <v>43690.123425925929</v>
      </c>
      <c r="B749" s="32">
        <v>589859</v>
      </c>
      <c r="C749" s="26">
        <v>80</v>
      </c>
      <c r="D749" s="86" t="s">
        <v>790</v>
      </c>
      <c r="E749" s="32">
        <f t="shared" si="21"/>
        <v>0</v>
      </c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  <c r="FJ749" s="25"/>
      <c r="FK749" s="25"/>
      <c r="FL749" s="25"/>
      <c r="FM749" s="25"/>
      <c r="FN749" s="25"/>
      <c r="FO749" s="25"/>
      <c r="FP749" s="25"/>
      <c r="FQ749" s="25"/>
      <c r="FR749" s="25"/>
      <c r="FS749" s="25"/>
      <c r="FT749" s="25"/>
      <c r="FU749" s="25"/>
      <c r="FV749" s="77"/>
      <c r="FW749" s="28"/>
      <c r="FX749" s="28"/>
      <c r="FY749" s="26"/>
      <c r="FZ749" s="26"/>
      <c r="GA749" s="26"/>
      <c r="GB749" s="26"/>
      <c r="GC749" s="26"/>
      <c r="GD749" s="26"/>
      <c r="GE749" s="26"/>
      <c r="GF749" s="26"/>
      <c r="GG749" s="26"/>
      <c r="GH749" s="26"/>
      <c r="GI749" s="26"/>
      <c r="GJ749" s="26"/>
      <c r="GK749" s="26"/>
      <c r="GL749" s="65"/>
      <c r="GM749" s="26"/>
      <c r="GN749" s="26"/>
      <c r="GO749" s="26"/>
      <c r="GP749" s="26"/>
      <c r="GQ749" s="26"/>
      <c r="GR749" s="26"/>
      <c r="GS749" s="64"/>
      <c r="GT749" s="26"/>
      <c r="GU749" s="26"/>
      <c r="GV749" s="26"/>
      <c r="GW749" s="26"/>
      <c r="GX749" s="64"/>
      <c r="GY749" s="26"/>
      <c r="GZ749" s="26"/>
      <c r="HA749" s="26"/>
      <c r="HB749" s="26">
        <v>80</v>
      </c>
      <c r="HC749" s="65"/>
      <c r="HD749" s="26"/>
      <c r="HE749" s="26"/>
      <c r="HF749" s="26"/>
      <c r="HG749" s="26"/>
      <c r="HH749" s="65"/>
      <c r="HI749" s="26"/>
      <c r="HJ749" s="26"/>
      <c r="HK749" s="25"/>
      <c r="HL749" s="25"/>
    </row>
    <row r="750" spans="1:220" ht="15.75" customHeight="1" x14ac:dyDescent="0.2">
      <c r="A750" s="58">
        <v>43690.085335648146</v>
      </c>
      <c r="B750" s="32">
        <v>589855</v>
      </c>
      <c r="C750" s="26">
        <v>86.05</v>
      </c>
      <c r="D750" s="86" t="s">
        <v>791</v>
      </c>
      <c r="E750" s="32">
        <f t="shared" si="21"/>
        <v>-4.9999999999997158E-2</v>
      </c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  <c r="FJ750" s="25"/>
      <c r="FK750" s="25"/>
      <c r="FL750" s="25"/>
      <c r="FM750" s="25"/>
      <c r="FN750" s="25"/>
      <c r="FO750" s="25"/>
      <c r="FP750" s="25"/>
      <c r="FQ750" s="25"/>
      <c r="FR750" s="25"/>
      <c r="FS750" s="25"/>
      <c r="FT750" s="25"/>
      <c r="FU750" s="25"/>
      <c r="FV750" s="77"/>
      <c r="FW750" s="28"/>
      <c r="FX750" s="28"/>
      <c r="FY750" s="26"/>
      <c r="FZ750" s="26"/>
      <c r="GA750" s="26"/>
      <c r="GB750" s="26"/>
      <c r="GC750" s="26"/>
      <c r="GD750" s="26"/>
      <c r="GE750" s="26"/>
      <c r="GF750" s="26"/>
      <c r="GG750" s="26"/>
      <c r="GH750" s="26"/>
      <c r="GI750" s="26"/>
      <c r="GJ750" s="26"/>
      <c r="GK750" s="26"/>
      <c r="GL750" s="65"/>
      <c r="GM750" s="26"/>
      <c r="GN750" s="26"/>
      <c r="GO750" s="26"/>
      <c r="GP750" s="26"/>
      <c r="GQ750" s="26"/>
      <c r="GR750" s="26"/>
      <c r="GS750" s="64"/>
      <c r="GT750" s="26"/>
      <c r="GU750" s="26"/>
      <c r="GV750" s="26"/>
      <c r="GW750" s="26"/>
      <c r="GX750" s="64"/>
      <c r="GY750" s="26"/>
      <c r="GZ750" s="26"/>
      <c r="HA750" s="26"/>
      <c r="HB750" s="26"/>
      <c r="HC750" s="65"/>
      <c r="HD750" s="26"/>
      <c r="HE750" s="26">
        <v>86.1</v>
      </c>
      <c r="HF750" s="26"/>
      <c r="HG750" s="26"/>
      <c r="HH750" s="65"/>
      <c r="HI750" s="26"/>
      <c r="HJ750" s="26"/>
      <c r="HK750" s="25"/>
      <c r="HL750" s="25"/>
    </row>
    <row r="751" spans="1:220" ht="15.75" customHeight="1" x14ac:dyDescent="0.2">
      <c r="A751" s="58">
        <v>43690.123425925929</v>
      </c>
      <c r="B751" s="32">
        <v>589859</v>
      </c>
      <c r="C751" s="26">
        <v>76.683999999999997</v>
      </c>
      <c r="D751" s="86" t="s">
        <v>792</v>
      </c>
      <c r="E751" s="32">
        <f t="shared" si="21"/>
        <v>0</v>
      </c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  <c r="FJ751" s="25"/>
      <c r="FK751" s="25"/>
      <c r="FL751" s="25"/>
      <c r="FM751" s="25"/>
      <c r="FN751" s="25"/>
      <c r="FO751" s="25"/>
      <c r="FP751" s="25"/>
      <c r="FQ751" s="25"/>
      <c r="FR751" s="25"/>
      <c r="FS751" s="25"/>
      <c r="FT751" s="25"/>
      <c r="FU751" s="25"/>
      <c r="FV751" s="27"/>
      <c r="FW751" s="27"/>
      <c r="FX751" s="27"/>
      <c r="FY751" s="25"/>
      <c r="FZ751" s="25"/>
      <c r="GA751" s="25"/>
      <c r="GB751" s="25"/>
      <c r="GC751" s="25"/>
      <c r="GD751" s="25"/>
      <c r="GE751" s="25"/>
      <c r="GF751" s="25"/>
      <c r="GG751" s="25"/>
      <c r="GH751" s="25"/>
      <c r="GI751" s="25"/>
      <c r="GJ751" s="25"/>
      <c r="GK751" s="25"/>
      <c r="GL751" s="65"/>
      <c r="GM751" s="25"/>
      <c r="GN751" s="25"/>
      <c r="GO751" s="25"/>
      <c r="GP751" s="25"/>
      <c r="GQ751" s="25"/>
      <c r="GR751" s="25"/>
      <c r="GS751" s="64"/>
      <c r="GT751" s="25"/>
      <c r="GU751" s="25"/>
      <c r="GV751" s="25"/>
      <c r="GW751" s="25"/>
      <c r="GX751" s="64"/>
      <c r="GY751" s="25"/>
      <c r="GZ751" s="25"/>
      <c r="HA751" s="25"/>
      <c r="HB751" s="25"/>
      <c r="HC751" s="65"/>
      <c r="HD751" s="25"/>
      <c r="HE751" s="26">
        <v>76.683999999999997</v>
      </c>
      <c r="HF751" s="25"/>
      <c r="HG751" s="25"/>
      <c r="HH751" s="65"/>
      <c r="HI751" s="25"/>
      <c r="HJ751" s="25"/>
      <c r="HK751" s="25"/>
      <c r="HL751" s="25"/>
    </row>
    <row r="752" spans="1:220" ht="15.75" customHeight="1" x14ac:dyDescent="0.2">
      <c r="A752" s="58">
        <v>43692.285312499997</v>
      </c>
      <c r="B752" s="32">
        <v>590193</v>
      </c>
      <c r="C752" s="26">
        <v>53.8</v>
      </c>
      <c r="D752" s="86" t="s">
        <v>793</v>
      </c>
      <c r="E752" s="32">
        <f t="shared" si="21"/>
        <v>0</v>
      </c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  <c r="FJ752" s="25"/>
      <c r="FK752" s="25"/>
      <c r="FL752" s="25"/>
      <c r="FM752" s="25"/>
      <c r="FN752" s="25"/>
      <c r="FO752" s="25"/>
      <c r="FP752" s="25"/>
      <c r="FQ752" s="25"/>
      <c r="FR752" s="25"/>
      <c r="FS752" s="25"/>
      <c r="FT752" s="25"/>
      <c r="FU752" s="25"/>
      <c r="FV752" s="27"/>
      <c r="FW752" s="27"/>
      <c r="FX752" s="27"/>
      <c r="FY752" s="25"/>
      <c r="FZ752" s="25"/>
      <c r="GA752" s="25"/>
      <c r="GB752" s="25"/>
      <c r="GC752" s="25"/>
      <c r="GD752" s="25"/>
      <c r="GE752" s="25"/>
      <c r="GF752" s="25"/>
      <c r="GG752" s="25"/>
      <c r="GH752" s="25"/>
      <c r="GI752" s="25"/>
      <c r="GJ752" s="25"/>
      <c r="GK752" s="25"/>
      <c r="GL752" s="65"/>
      <c r="GM752" s="25"/>
      <c r="GN752" s="25"/>
      <c r="GO752" s="25"/>
      <c r="GP752" s="25"/>
      <c r="GQ752" s="25"/>
      <c r="GR752" s="25"/>
      <c r="GS752" s="64"/>
      <c r="GT752" s="25"/>
      <c r="GU752" s="25"/>
      <c r="GV752" s="25"/>
      <c r="GW752" s="25"/>
      <c r="GX752" s="64"/>
      <c r="GY752" s="25"/>
      <c r="GZ752" s="25"/>
      <c r="HA752" s="25"/>
      <c r="HB752" s="26">
        <v>53.8</v>
      </c>
      <c r="HC752" s="65"/>
      <c r="HD752" s="25"/>
      <c r="HE752" s="25"/>
      <c r="HF752" s="25"/>
      <c r="HG752" s="25"/>
      <c r="HH752" s="65"/>
      <c r="HI752" s="25"/>
      <c r="HJ752" s="25"/>
      <c r="HK752" s="25"/>
      <c r="HL752" s="25"/>
    </row>
    <row r="753" spans="1:220" ht="15.75" customHeight="1" x14ac:dyDescent="0.2">
      <c r="A753" s="58">
        <v>43692.297627314816</v>
      </c>
      <c r="B753" s="32">
        <v>590195</v>
      </c>
      <c r="C753" s="26">
        <v>46.789000000000001</v>
      </c>
      <c r="D753" s="86" t="s">
        <v>794</v>
      </c>
      <c r="E753" s="32">
        <f t="shared" si="21"/>
        <v>0</v>
      </c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  <c r="FJ753" s="25"/>
      <c r="FK753" s="25"/>
      <c r="FL753" s="25"/>
      <c r="FM753" s="25"/>
      <c r="FN753" s="25"/>
      <c r="FO753" s="25"/>
      <c r="FP753" s="25"/>
      <c r="FQ753" s="25"/>
      <c r="FR753" s="25"/>
      <c r="FS753" s="25"/>
      <c r="FT753" s="25"/>
      <c r="FU753" s="25"/>
      <c r="FV753" s="27"/>
      <c r="FW753" s="27"/>
      <c r="FX753" s="27"/>
      <c r="FY753" s="25"/>
      <c r="FZ753" s="25"/>
      <c r="GA753" s="25"/>
      <c r="GB753" s="25"/>
      <c r="GC753" s="25"/>
      <c r="GD753" s="25"/>
      <c r="GE753" s="25"/>
      <c r="GF753" s="25"/>
      <c r="GG753" s="25"/>
      <c r="GH753" s="25"/>
      <c r="GI753" s="25"/>
      <c r="GJ753" s="25"/>
      <c r="GK753" s="25"/>
      <c r="GL753" s="65"/>
      <c r="GM753" s="25"/>
      <c r="GN753" s="25"/>
      <c r="GO753" s="25"/>
      <c r="GP753" s="25"/>
      <c r="GQ753" s="25"/>
      <c r="GR753" s="25"/>
      <c r="GS753" s="64"/>
      <c r="GT753" s="25"/>
      <c r="GU753" s="25"/>
      <c r="GV753" s="25"/>
      <c r="GW753" s="25"/>
      <c r="GX753" s="64"/>
      <c r="GY753" s="25"/>
      <c r="GZ753" s="25"/>
      <c r="HA753" s="25"/>
      <c r="HB753" s="26">
        <v>46.789000000000001</v>
      </c>
      <c r="HC753" s="65"/>
      <c r="HD753" s="25"/>
      <c r="HE753" s="25"/>
      <c r="HF753" s="25"/>
      <c r="HG753" s="25"/>
      <c r="HH753" s="65"/>
      <c r="HI753" s="25"/>
      <c r="HJ753" s="25"/>
      <c r="HK753" s="25"/>
      <c r="HL753" s="25"/>
    </row>
    <row r="754" spans="1:220" ht="15.75" customHeight="1" x14ac:dyDescent="0.2">
      <c r="A754" s="58">
        <v>43690.123425925929</v>
      </c>
      <c r="B754" s="32">
        <v>589859</v>
      </c>
      <c r="C754" s="26">
        <v>78.14</v>
      </c>
      <c r="D754" s="86" t="s">
        <v>795</v>
      </c>
      <c r="E754" s="32">
        <f t="shared" si="21"/>
        <v>0</v>
      </c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  <c r="FJ754" s="25"/>
      <c r="FK754" s="25"/>
      <c r="FL754" s="25"/>
      <c r="FM754" s="25"/>
      <c r="FN754" s="25"/>
      <c r="FO754" s="25"/>
      <c r="FP754" s="25"/>
      <c r="FQ754" s="25"/>
      <c r="FR754" s="25"/>
      <c r="FS754" s="25"/>
      <c r="FT754" s="25"/>
      <c r="FU754" s="25"/>
      <c r="FV754" s="27"/>
      <c r="FW754" s="27"/>
      <c r="FX754" s="27"/>
      <c r="FY754" s="25"/>
      <c r="FZ754" s="25"/>
      <c r="GA754" s="25"/>
      <c r="GB754" s="25"/>
      <c r="GC754" s="25"/>
      <c r="GD754" s="25"/>
      <c r="GE754" s="25"/>
      <c r="GF754" s="25"/>
      <c r="GG754" s="25"/>
      <c r="GH754" s="25"/>
      <c r="GI754" s="25"/>
      <c r="GJ754" s="25"/>
      <c r="GK754" s="25"/>
      <c r="GL754" s="65"/>
      <c r="GM754" s="25"/>
      <c r="GN754" s="25"/>
      <c r="GO754" s="25"/>
      <c r="GP754" s="25"/>
      <c r="GQ754" s="25"/>
      <c r="GR754" s="25"/>
      <c r="GS754" s="64"/>
      <c r="GT754" s="25"/>
      <c r="GU754" s="25"/>
      <c r="GV754" s="25"/>
      <c r="GW754" s="25"/>
      <c r="GX754" s="64"/>
      <c r="GY754" s="25"/>
      <c r="GZ754" s="25"/>
      <c r="HA754" s="25"/>
      <c r="HB754" s="25"/>
      <c r="HC754" s="65"/>
      <c r="HD754" s="25"/>
      <c r="HE754" s="26">
        <v>78.14</v>
      </c>
      <c r="HF754" s="25"/>
      <c r="HG754" s="25"/>
      <c r="HH754" s="65"/>
      <c r="HI754" s="25"/>
      <c r="HJ754" s="25"/>
      <c r="HK754" s="25"/>
      <c r="HL754" s="25"/>
    </row>
    <row r="755" spans="1:220" ht="15.75" customHeight="1" x14ac:dyDescent="0.2">
      <c r="A755" s="58">
        <v>43692.297627314816</v>
      </c>
      <c r="B755" s="32">
        <v>590195</v>
      </c>
      <c r="C755" s="26">
        <v>48.468000000000004</v>
      </c>
      <c r="D755" s="86" t="s">
        <v>796</v>
      </c>
      <c r="E755" s="32">
        <f t="shared" si="21"/>
        <v>0</v>
      </c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  <c r="FJ755" s="25"/>
      <c r="FK755" s="25"/>
      <c r="FL755" s="25"/>
      <c r="FM755" s="25"/>
      <c r="FN755" s="25"/>
      <c r="FO755" s="25"/>
      <c r="FP755" s="25"/>
      <c r="FQ755" s="25"/>
      <c r="FR755" s="25"/>
      <c r="FS755" s="25"/>
      <c r="FT755" s="25"/>
      <c r="FU755" s="25"/>
      <c r="FV755" s="27"/>
      <c r="FW755" s="27"/>
      <c r="FX755" s="27"/>
      <c r="FY755" s="25"/>
      <c r="FZ755" s="25"/>
      <c r="GA755" s="25"/>
      <c r="GB755" s="25"/>
      <c r="GC755" s="25"/>
      <c r="GD755" s="25"/>
      <c r="GE755" s="25"/>
      <c r="GF755" s="25"/>
      <c r="GG755" s="25"/>
      <c r="GH755" s="25"/>
      <c r="GI755" s="25"/>
      <c r="GJ755" s="25"/>
      <c r="GK755" s="25"/>
      <c r="GL755" s="65"/>
      <c r="GM755" s="25"/>
      <c r="GN755" s="25"/>
      <c r="GO755" s="25"/>
      <c r="GP755" s="25"/>
      <c r="GQ755" s="25"/>
      <c r="GR755" s="25"/>
      <c r="GS755" s="64"/>
      <c r="GT755" s="25"/>
      <c r="GU755" s="25"/>
      <c r="GV755" s="25"/>
      <c r="GW755" s="25"/>
      <c r="GX755" s="64"/>
      <c r="GY755" s="26">
        <v>48.468000000000004</v>
      </c>
      <c r="GZ755" s="25"/>
      <c r="HA755" s="25"/>
      <c r="HB755" s="25"/>
      <c r="HC755" s="65"/>
      <c r="HD755" s="25"/>
      <c r="HE755" s="25"/>
      <c r="HF755" s="25"/>
      <c r="HG755" s="25"/>
      <c r="HH755" s="65"/>
      <c r="HI755" s="25"/>
      <c r="HJ755" s="25"/>
      <c r="HK755" s="25"/>
      <c r="HL755" s="25"/>
    </row>
    <row r="756" spans="1:220" ht="15.75" customHeight="1" x14ac:dyDescent="0.2">
      <c r="A756" s="58">
        <v>43695.337407407409</v>
      </c>
      <c r="B756" s="32">
        <v>590626</v>
      </c>
      <c r="C756" s="26">
        <v>22.05</v>
      </c>
      <c r="D756" s="86" t="s">
        <v>797</v>
      </c>
      <c r="E756" s="32">
        <f t="shared" si="21"/>
        <v>0</v>
      </c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  <c r="FJ756" s="25"/>
      <c r="FK756" s="25"/>
      <c r="FL756" s="25"/>
      <c r="FM756" s="25"/>
      <c r="FN756" s="25"/>
      <c r="FO756" s="25"/>
      <c r="FP756" s="25"/>
      <c r="FQ756" s="25"/>
      <c r="FR756" s="25"/>
      <c r="FS756" s="25"/>
      <c r="FT756" s="25"/>
      <c r="FU756" s="25"/>
      <c r="FV756" s="27"/>
      <c r="FW756" s="27"/>
      <c r="FX756" s="27"/>
      <c r="FY756" s="25"/>
      <c r="FZ756" s="25"/>
      <c r="GA756" s="25"/>
      <c r="GB756" s="25"/>
      <c r="GC756" s="25"/>
      <c r="GD756" s="25"/>
      <c r="GE756" s="25"/>
      <c r="GF756" s="25"/>
      <c r="GG756" s="25"/>
      <c r="GH756" s="25"/>
      <c r="GI756" s="25"/>
      <c r="GJ756" s="25"/>
      <c r="GK756" s="25"/>
      <c r="GL756" s="65"/>
      <c r="GM756" s="25"/>
      <c r="GN756" s="25"/>
      <c r="GO756" s="25"/>
      <c r="GP756" s="25"/>
      <c r="GQ756" s="25"/>
      <c r="GR756" s="25"/>
      <c r="GS756" s="64"/>
      <c r="GT756" s="25"/>
      <c r="GU756" s="25"/>
      <c r="GV756" s="25"/>
      <c r="GW756" s="25"/>
      <c r="GX756" s="64"/>
      <c r="GY756" s="26">
        <v>22.05</v>
      </c>
      <c r="GZ756" s="25"/>
      <c r="HA756" s="25"/>
      <c r="HB756" s="25"/>
      <c r="HC756" s="65"/>
      <c r="HD756" s="25"/>
      <c r="HE756" s="25"/>
      <c r="HF756" s="25"/>
      <c r="HG756" s="25"/>
      <c r="HH756" s="65"/>
      <c r="HI756" s="25"/>
      <c r="HJ756" s="25"/>
      <c r="HK756" s="25"/>
      <c r="HL756" s="25"/>
    </row>
    <row r="757" spans="1:220" ht="15.75" customHeight="1" x14ac:dyDescent="0.2">
      <c r="A757" s="58">
        <v>43691.387071759258</v>
      </c>
      <c r="B757" s="32">
        <v>590051</v>
      </c>
      <c r="C757" s="26">
        <v>40.049999999999997</v>
      </c>
      <c r="D757" s="86" t="s">
        <v>798</v>
      </c>
      <c r="E757" s="32">
        <f t="shared" si="21"/>
        <v>-4.0000000000048885E-3</v>
      </c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  <c r="FJ757" s="25"/>
      <c r="FK757" s="25"/>
      <c r="FL757" s="25"/>
      <c r="FM757" s="25"/>
      <c r="FN757" s="25"/>
      <c r="FO757" s="25"/>
      <c r="FP757" s="25"/>
      <c r="FQ757" s="25"/>
      <c r="FR757" s="25"/>
      <c r="FS757" s="25"/>
      <c r="FT757" s="25"/>
      <c r="FU757" s="25"/>
      <c r="FV757" s="27"/>
      <c r="FW757" s="27"/>
      <c r="FX757" s="27"/>
      <c r="FY757" s="25"/>
      <c r="FZ757" s="25"/>
      <c r="GA757" s="25"/>
      <c r="GB757" s="25"/>
      <c r="GC757" s="25"/>
      <c r="GD757" s="25"/>
      <c r="GE757" s="25"/>
      <c r="GF757" s="25"/>
      <c r="GG757" s="25"/>
      <c r="GH757" s="25"/>
      <c r="GI757" s="25"/>
      <c r="GJ757" s="25"/>
      <c r="GK757" s="25"/>
      <c r="GL757" s="65"/>
      <c r="GM757" s="25"/>
      <c r="GN757" s="25"/>
      <c r="GO757" s="25"/>
      <c r="GP757" s="25"/>
      <c r="GQ757" s="25"/>
      <c r="GR757" s="25"/>
      <c r="GS757" s="64"/>
      <c r="GT757" s="25"/>
      <c r="GU757" s="25"/>
      <c r="GV757" s="25"/>
      <c r="GW757" s="25"/>
      <c r="GX757" s="64"/>
      <c r="GY757" s="26">
        <v>40.054000000000002</v>
      </c>
      <c r="GZ757" s="25"/>
      <c r="HA757" s="25"/>
      <c r="HB757" s="25"/>
      <c r="HC757" s="65"/>
      <c r="HD757" s="25"/>
      <c r="HE757" s="25"/>
      <c r="HF757" s="25"/>
      <c r="HG757" s="25"/>
      <c r="HH757" s="65"/>
      <c r="HI757" s="25"/>
      <c r="HJ757" s="25"/>
      <c r="HK757" s="25"/>
      <c r="HL757" s="25"/>
    </row>
    <row r="758" spans="1:220" ht="15.75" customHeight="1" x14ac:dyDescent="0.2">
      <c r="A758" s="58">
        <v>43690.948229166665</v>
      </c>
      <c r="B758" s="32">
        <v>589992</v>
      </c>
      <c r="C758" s="26">
        <v>47.962000000000003</v>
      </c>
      <c r="D758" s="86" t="s">
        <v>799</v>
      </c>
      <c r="E758" s="32">
        <f t="shared" si="21"/>
        <v>0</v>
      </c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  <c r="FJ758" s="25"/>
      <c r="FK758" s="25"/>
      <c r="FL758" s="25"/>
      <c r="FM758" s="25"/>
      <c r="FN758" s="25"/>
      <c r="FO758" s="25"/>
      <c r="FP758" s="25"/>
      <c r="FQ758" s="25"/>
      <c r="FR758" s="25"/>
      <c r="FS758" s="25"/>
      <c r="FT758" s="25"/>
      <c r="FU758" s="25"/>
      <c r="FV758" s="27"/>
      <c r="FW758" s="27"/>
      <c r="FX758" s="27"/>
      <c r="FY758" s="25"/>
      <c r="FZ758" s="25"/>
      <c r="GA758" s="25"/>
      <c r="GB758" s="25"/>
      <c r="GC758" s="25"/>
      <c r="GD758" s="25"/>
      <c r="GE758" s="25"/>
      <c r="GF758" s="25"/>
      <c r="GG758" s="25"/>
      <c r="GH758" s="25"/>
      <c r="GI758" s="25"/>
      <c r="GJ758" s="25"/>
      <c r="GK758" s="25"/>
      <c r="GL758" s="65"/>
      <c r="GM758" s="25"/>
      <c r="GN758" s="25"/>
      <c r="GO758" s="25"/>
      <c r="GP758" s="25"/>
      <c r="GQ758" s="25"/>
      <c r="GR758" s="25"/>
      <c r="GS758" s="64"/>
      <c r="GT758" s="25"/>
      <c r="GU758" s="25"/>
      <c r="GV758" s="25"/>
      <c r="GW758" s="25"/>
      <c r="GX758" s="64"/>
      <c r="GY758" s="26">
        <v>47.962000000000003</v>
      </c>
      <c r="GZ758" s="25"/>
      <c r="HA758" s="25"/>
      <c r="HB758" s="25"/>
      <c r="HC758" s="65"/>
      <c r="HD758" s="25"/>
      <c r="HE758" s="25"/>
      <c r="HF758" s="25"/>
      <c r="HG758" s="25"/>
      <c r="HH758" s="65"/>
      <c r="HI758" s="25"/>
      <c r="HJ758" s="25"/>
      <c r="HK758" s="25"/>
      <c r="HL758" s="25"/>
    </row>
    <row r="759" spans="1:220" ht="15.75" customHeight="1" x14ac:dyDescent="0.2">
      <c r="A759" s="58">
        <v>43690.948229166665</v>
      </c>
      <c r="B759" s="32">
        <v>589992</v>
      </c>
      <c r="C759" s="26">
        <v>53.25</v>
      </c>
      <c r="D759" s="86" t="s">
        <v>800</v>
      </c>
      <c r="E759" s="32">
        <f t="shared" si="21"/>
        <v>0</v>
      </c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  <c r="FJ759" s="25"/>
      <c r="FK759" s="25"/>
      <c r="FL759" s="25"/>
      <c r="FM759" s="25"/>
      <c r="FN759" s="25"/>
      <c r="FO759" s="25"/>
      <c r="FP759" s="25"/>
      <c r="FQ759" s="25"/>
      <c r="FR759" s="25"/>
      <c r="FS759" s="25"/>
      <c r="FT759" s="25"/>
      <c r="FU759" s="25"/>
      <c r="FV759" s="27"/>
      <c r="FW759" s="27"/>
      <c r="FX759" s="27"/>
      <c r="FY759" s="25"/>
      <c r="FZ759" s="25"/>
      <c r="GA759" s="25"/>
      <c r="GB759" s="25"/>
      <c r="GC759" s="25"/>
      <c r="GD759" s="25"/>
      <c r="GE759" s="25"/>
      <c r="GF759" s="25"/>
      <c r="GG759" s="25"/>
      <c r="GH759" s="25"/>
      <c r="GI759" s="25"/>
      <c r="GJ759" s="25"/>
      <c r="GK759" s="25"/>
      <c r="GL759" s="65"/>
      <c r="GM759" s="25"/>
      <c r="GN759" s="25"/>
      <c r="GO759" s="25"/>
      <c r="GP759" s="25"/>
      <c r="GQ759" s="25"/>
      <c r="GR759" s="25"/>
      <c r="GS759" s="64"/>
      <c r="GT759" s="25"/>
      <c r="GU759" s="25"/>
      <c r="GV759" s="25"/>
      <c r="GW759" s="25"/>
      <c r="GX759" s="64"/>
      <c r="GY759" s="26">
        <v>53.25</v>
      </c>
      <c r="GZ759" s="25"/>
      <c r="HA759" s="25"/>
      <c r="HB759" s="25"/>
      <c r="HC759" s="65"/>
      <c r="HD759" s="25"/>
      <c r="HE759" s="25"/>
      <c r="HF759" s="25"/>
      <c r="HG759" s="25"/>
      <c r="HH759" s="65"/>
      <c r="HI759" s="25"/>
      <c r="HJ759" s="25"/>
      <c r="HK759" s="25"/>
      <c r="HL759" s="25"/>
    </row>
    <row r="760" spans="1:220" ht="15.75" customHeight="1" x14ac:dyDescent="0.2">
      <c r="A760" s="58">
        <v>43690.123425925929</v>
      </c>
      <c r="B760" s="32">
        <v>589859</v>
      </c>
      <c r="C760" s="26">
        <v>79</v>
      </c>
      <c r="D760" s="86" t="s">
        <v>801</v>
      </c>
      <c r="E760" s="32">
        <f t="shared" si="21"/>
        <v>2.0000000000010232E-2</v>
      </c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  <c r="FJ760" s="25"/>
      <c r="FK760" s="25"/>
      <c r="FL760" s="25"/>
      <c r="FM760" s="25"/>
      <c r="FN760" s="25"/>
      <c r="FO760" s="25"/>
      <c r="FP760" s="25"/>
      <c r="FQ760" s="25"/>
      <c r="FR760" s="25"/>
      <c r="FS760" s="25"/>
      <c r="FT760" s="25"/>
      <c r="FU760" s="25"/>
      <c r="FV760" s="27"/>
      <c r="FW760" s="27"/>
      <c r="FX760" s="27"/>
      <c r="FY760" s="25"/>
      <c r="FZ760" s="25"/>
      <c r="GA760" s="25"/>
      <c r="GB760" s="25"/>
      <c r="GC760" s="25"/>
      <c r="GD760" s="25"/>
      <c r="GE760" s="25"/>
      <c r="GF760" s="25"/>
      <c r="GG760" s="25"/>
      <c r="GH760" s="25"/>
      <c r="GI760" s="25"/>
      <c r="GJ760" s="25"/>
      <c r="GK760" s="25"/>
      <c r="GL760" s="65"/>
      <c r="GM760" s="25"/>
      <c r="GN760" s="25"/>
      <c r="GO760" s="25"/>
      <c r="GP760" s="25"/>
      <c r="GQ760" s="25"/>
      <c r="GR760" s="25"/>
      <c r="GS760" s="64"/>
      <c r="GT760" s="25"/>
      <c r="GU760" s="25"/>
      <c r="GV760" s="25"/>
      <c r="GW760" s="25"/>
      <c r="GX760" s="64"/>
      <c r="GY760" s="26">
        <v>48.98</v>
      </c>
      <c r="GZ760" s="26">
        <v>30</v>
      </c>
      <c r="HA760" s="25"/>
      <c r="HB760" s="25"/>
      <c r="HC760" s="65"/>
      <c r="HD760" s="25"/>
      <c r="HE760" s="25"/>
      <c r="HF760" s="25"/>
      <c r="HG760" s="25"/>
      <c r="HH760" s="65"/>
      <c r="HI760" s="25"/>
      <c r="HJ760" s="25"/>
      <c r="HK760" s="25"/>
      <c r="HL760" s="25"/>
    </row>
    <row r="761" spans="1:220" ht="15.75" customHeight="1" x14ac:dyDescent="0.2">
      <c r="A761" s="58">
        <v>43703.344907407409</v>
      </c>
      <c r="B761" s="32">
        <v>591815</v>
      </c>
      <c r="C761" s="26">
        <v>40</v>
      </c>
      <c r="D761" s="86" t="s">
        <v>802</v>
      </c>
      <c r="E761" s="32">
        <f t="shared" si="21"/>
        <v>0</v>
      </c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  <c r="FJ761" s="25"/>
      <c r="FK761" s="25"/>
      <c r="FL761" s="25"/>
      <c r="FM761" s="25"/>
      <c r="FN761" s="25"/>
      <c r="FO761" s="25"/>
      <c r="FP761" s="25"/>
      <c r="FQ761" s="25"/>
      <c r="FR761" s="25"/>
      <c r="FS761" s="25"/>
      <c r="FT761" s="25"/>
      <c r="FU761" s="25"/>
      <c r="FV761" s="27"/>
      <c r="FW761" s="27"/>
      <c r="FX761" s="27"/>
      <c r="FY761" s="25"/>
      <c r="FZ761" s="25"/>
      <c r="GA761" s="25"/>
      <c r="GB761" s="25"/>
      <c r="GC761" s="25"/>
      <c r="GD761" s="25"/>
      <c r="GE761" s="25"/>
      <c r="GF761" s="25"/>
      <c r="GG761" s="25"/>
      <c r="GH761" s="25"/>
      <c r="GI761" s="25"/>
      <c r="GJ761" s="25"/>
      <c r="GK761" s="25"/>
      <c r="GL761" s="65"/>
      <c r="GM761" s="25"/>
      <c r="GN761" s="25"/>
      <c r="GO761" s="25"/>
      <c r="GP761" s="25"/>
      <c r="GQ761" s="25"/>
      <c r="GR761" s="26">
        <v>40</v>
      </c>
      <c r="GS761" s="64"/>
      <c r="GT761" s="25"/>
      <c r="GU761" s="25"/>
      <c r="GV761" s="25"/>
      <c r="GW761" s="25"/>
      <c r="GX761" s="64"/>
      <c r="GY761" s="25"/>
      <c r="GZ761" s="25"/>
      <c r="HA761" s="25"/>
      <c r="HB761" s="25"/>
      <c r="HC761" s="65"/>
      <c r="HD761" s="25"/>
      <c r="HE761" s="25"/>
      <c r="HF761" s="25"/>
      <c r="HG761" s="25"/>
      <c r="HH761" s="65"/>
      <c r="HI761" s="25"/>
      <c r="HJ761" s="25"/>
      <c r="HK761" s="25"/>
      <c r="HL761" s="25"/>
    </row>
    <row r="762" spans="1:220" ht="15.75" customHeight="1" x14ac:dyDescent="0.2">
      <c r="A762" s="58">
        <v>43691.387071759258</v>
      </c>
      <c r="B762" s="32">
        <v>590051</v>
      </c>
      <c r="C762" s="26">
        <v>42.1</v>
      </c>
      <c r="D762" s="86" t="s">
        <v>803</v>
      </c>
      <c r="E762" s="32">
        <f t="shared" si="21"/>
        <v>0</v>
      </c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  <c r="FJ762" s="25"/>
      <c r="FK762" s="25"/>
      <c r="FL762" s="25"/>
      <c r="FM762" s="25"/>
      <c r="FN762" s="25"/>
      <c r="FO762" s="25"/>
      <c r="FP762" s="25"/>
      <c r="FQ762" s="25"/>
      <c r="FR762" s="25"/>
      <c r="FS762" s="25"/>
      <c r="FT762" s="25"/>
      <c r="FU762" s="25"/>
      <c r="FV762" s="27"/>
      <c r="FW762" s="27"/>
      <c r="FX762" s="27"/>
      <c r="FY762" s="25"/>
      <c r="FZ762" s="25"/>
      <c r="GA762" s="25"/>
      <c r="GB762" s="25"/>
      <c r="GC762" s="25"/>
      <c r="GD762" s="25"/>
      <c r="GE762" s="25"/>
      <c r="GF762" s="25"/>
      <c r="GG762" s="25"/>
      <c r="GH762" s="25"/>
      <c r="GI762" s="25"/>
      <c r="GJ762" s="25"/>
      <c r="GK762" s="25"/>
      <c r="GL762" s="65"/>
      <c r="GM762" s="25"/>
      <c r="GN762" s="25"/>
      <c r="GO762" s="25"/>
      <c r="GP762" s="25"/>
      <c r="GQ762" s="25"/>
      <c r="GR762" s="25"/>
      <c r="GS762" s="64"/>
      <c r="GT762" s="25"/>
      <c r="GU762" s="25"/>
      <c r="GV762" s="25"/>
      <c r="GW762" s="25"/>
      <c r="GX762" s="64"/>
      <c r="GY762" s="26">
        <v>42.1</v>
      </c>
      <c r="GZ762" s="25"/>
      <c r="HA762" s="25"/>
      <c r="HB762" s="25"/>
      <c r="HC762" s="65"/>
      <c r="HD762" s="25"/>
      <c r="HE762" s="25"/>
      <c r="HF762" s="25"/>
      <c r="HG762" s="25"/>
      <c r="HH762" s="65"/>
      <c r="HI762" s="25"/>
      <c r="HJ762" s="25"/>
      <c r="HK762" s="25"/>
      <c r="HL762" s="25"/>
    </row>
    <row r="763" spans="1:220" ht="15.75" customHeight="1" x14ac:dyDescent="0.2">
      <c r="A763" s="58">
        <v>43690.08834490741</v>
      </c>
      <c r="B763" s="32">
        <v>589856</v>
      </c>
      <c r="C763" s="26">
        <v>78.209999999999994</v>
      </c>
      <c r="D763" s="86" t="s">
        <v>804</v>
      </c>
      <c r="E763" s="32">
        <f t="shared" si="21"/>
        <v>-4.600000000000648E-2</v>
      </c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  <c r="FJ763" s="25"/>
      <c r="FK763" s="25"/>
      <c r="FL763" s="25"/>
      <c r="FM763" s="25"/>
      <c r="FN763" s="25"/>
      <c r="FO763" s="25"/>
      <c r="FP763" s="25"/>
      <c r="FQ763" s="25"/>
      <c r="FR763" s="25"/>
      <c r="FS763" s="25"/>
      <c r="FT763" s="25"/>
      <c r="FU763" s="25"/>
      <c r="FV763" s="27"/>
      <c r="FW763" s="27"/>
      <c r="FX763" s="27"/>
      <c r="FY763" s="25"/>
      <c r="FZ763" s="25"/>
      <c r="GA763" s="25"/>
      <c r="GB763" s="25"/>
      <c r="GC763" s="25"/>
      <c r="GD763" s="25"/>
      <c r="GE763" s="25"/>
      <c r="GF763" s="25"/>
      <c r="GG763" s="25"/>
      <c r="GH763" s="25"/>
      <c r="GI763" s="25"/>
      <c r="GJ763" s="25"/>
      <c r="GK763" s="25"/>
      <c r="GL763" s="65"/>
      <c r="GM763" s="25"/>
      <c r="GN763" s="25"/>
      <c r="GO763" s="25"/>
      <c r="GP763" s="25"/>
      <c r="GQ763" s="25"/>
      <c r="GR763" s="25"/>
      <c r="GS763" s="64"/>
      <c r="GT763" s="25"/>
      <c r="GU763" s="25"/>
      <c r="GV763" s="25"/>
      <c r="GW763" s="25"/>
      <c r="GX763" s="64"/>
      <c r="GY763" s="25"/>
      <c r="GZ763" s="25"/>
      <c r="HA763" s="25"/>
      <c r="HB763" s="25"/>
      <c r="HC763" s="65"/>
      <c r="HD763" s="26">
        <v>40.11</v>
      </c>
      <c r="HE763" s="26">
        <v>38.146000000000001</v>
      </c>
      <c r="HF763" s="25"/>
      <c r="HG763" s="25"/>
      <c r="HH763" s="65"/>
      <c r="HI763" s="25"/>
      <c r="HJ763" s="25"/>
      <c r="HK763" s="25"/>
      <c r="HL763" s="25"/>
    </row>
    <row r="764" spans="1:220" ht="15.75" customHeight="1" x14ac:dyDescent="0.2">
      <c r="A764" s="58">
        <v>43696.492812500001</v>
      </c>
      <c r="B764" s="32">
        <v>590794</v>
      </c>
      <c r="C764" s="26">
        <v>65</v>
      </c>
      <c r="D764" s="86" t="s">
        <v>805</v>
      </c>
      <c r="E764" s="32">
        <f t="shared" si="21"/>
        <v>0</v>
      </c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  <c r="FJ764" s="25"/>
      <c r="FK764" s="25"/>
      <c r="FL764" s="25"/>
      <c r="FM764" s="25"/>
      <c r="FN764" s="25"/>
      <c r="FO764" s="25"/>
      <c r="FP764" s="25"/>
      <c r="FQ764" s="25"/>
      <c r="FR764" s="25"/>
      <c r="FS764" s="25"/>
      <c r="FT764" s="25"/>
      <c r="FU764" s="25"/>
      <c r="FV764" s="27"/>
      <c r="FW764" s="27"/>
      <c r="FX764" s="27"/>
      <c r="FY764" s="25"/>
      <c r="FZ764" s="25"/>
      <c r="GA764" s="25"/>
      <c r="GB764" s="25"/>
      <c r="GC764" s="25"/>
      <c r="GD764" s="25"/>
      <c r="GE764" s="25"/>
      <c r="GF764" s="25"/>
      <c r="GG764" s="25"/>
      <c r="GH764" s="25"/>
      <c r="GI764" s="25"/>
      <c r="GJ764" s="25"/>
      <c r="GK764" s="25"/>
      <c r="GL764" s="65"/>
      <c r="GM764" s="25"/>
      <c r="GN764" s="25"/>
      <c r="GO764" s="25"/>
      <c r="GP764" s="25"/>
      <c r="GQ764" s="25"/>
      <c r="GR764" s="25"/>
      <c r="GS764" s="64"/>
      <c r="GT764" s="25"/>
      <c r="GU764" s="25"/>
      <c r="GV764" s="25"/>
      <c r="GW764" s="25"/>
      <c r="GX764" s="64"/>
      <c r="GY764" s="26">
        <v>65</v>
      </c>
      <c r="GZ764" s="25"/>
      <c r="HA764" s="25"/>
      <c r="HB764" s="25"/>
      <c r="HC764" s="65"/>
      <c r="HD764" s="25"/>
      <c r="HE764" s="25"/>
      <c r="HF764" s="25"/>
      <c r="HG764" s="25"/>
      <c r="HH764" s="65"/>
      <c r="HI764" s="25"/>
      <c r="HJ764" s="25"/>
      <c r="HK764" s="25"/>
      <c r="HL764" s="25"/>
    </row>
    <row r="765" spans="1:220" ht="15.75" customHeight="1" x14ac:dyDescent="0.2">
      <c r="A765" s="58">
        <v>43696.619641203702</v>
      </c>
      <c r="B765" s="32">
        <v>590812</v>
      </c>
      <c r="C765" s="26">
        <v>20</v>
      </c>
      <c r="D765" s="86" t="s">
        <v>806</v>
      </c>
      <c r="E765" s="32">
        <f t="shared" ref="E765:E828" si="22">C765-SUM(AN765:HK765)</f>
        <v>0</v>
      </c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  <c r="FJ765" s="25"/>
      <c r="FK765" s="25"/>
      <c r="FL765" s="25"/>
      <c r="FM765" s="25"/>
      <c r="FN765" s="25"/>
      <c r="FO765" s="25"/>
      <c r="FP765" s="25"/>
      <c r="FQ765" s="25"/>
      <c r="FR765" s="25"/>
      <c r="FS765" s="25"/>
      <c r="FT765" s="25"/>
      <c r="FU765" s="25"/>
      <c r="FV765" s="27"/>
      <c r="FW765" s="27"/>
      <c r="FX765" s="27"/>
      <c r="FY765" s="25"/>
      <c r="FZ765" s="25"/>
      <c r="GA765" s="25"/>
      <c r="GB765" s="25"/>
      <c r="GC765" s="25"/>
      <c r="GD765" s="25"/>
      <c r="GE765" s="25"/>
      <c r="GF765" s="25"/>
      <c r="GG765" s="25"/>
      <c r="GH765" s="25"/>
      <c r="GI765" s="25"/>
      <c r="GJ765" s="25"/>
      <c r="GK765" s="25"/>
      <c r="GL765" s="65"/>
      <c r="GM765" s="25"/>
      <c r="GN765" s="25"/>
      <c r="GO765" s="25"/>
      <c r="GP765" s="25"/>
      <c r="GQ765" s="25"/>
      <c r="GR765" s="25"/>
      <c r="GS765" s="64"/>
      <c r="GT765" s="25"/>
      <c r="GU765" s="25"/>
      <c r="GV765" s="25"/>
      <c r="GW765" s="25"/>
      <c r="GX765" s="64"/>
      <c r="GY765" s="26">
        <v>20</v>
      </c>
      <c r="GZ765" s="25"/>
      <c r="HA765" s="25"/>
      <c r="HB765" s="25"/>
      <c r="HC765" s="65"/>
      <c r="HD765" s="25"/>
      <c r="HE765" s="25"/>
      <c r="HF765" s="25"/>
      <c r="HG765" s="25"/>
      <c r="HH765" s="65"/>
      <c r="HI765" s="25"/>
      <c r="HJ765" s="25"/>
      <c r="HK765" s="25"/>
      <c r="HL765" s="25"/>
    </row>
    <row r="766" spans="1:220" ht="15.75" customHeight="1" x14ac:dyDescent="0.2">
      <c r="A766" s="58">
        <v>43696.541493055556</v>
      </c>
      <c r="B766" s="32">
        <v>590801</v>
      </c>
      <c r="C766" s="26">
        <v>20</v>
      </c>
      <c r="D766" s="86" t="s">
        <v>807</v>
      </c>
      <c r="E766" s="32">
        <f t="shared" si="22"/>
        <v>0</v>
      </c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  <c r="FJ766" s="25"/>
      <c r="FK766" s="25"/>
      <c r="FL766" s="25"/>
      <c r="FM766" s="25"/>
      <c r="FN766" s="25"/>
      <c r="FO766" s="25"/>
      <c r="FP766" s="25"/>
      <c r="FQ766" s="25"/>
      <c r="FR766" s="25"/>
      <c r="FS766" s="25"/>
      <c r="FT766" s="25"/>
      <c r="FU766" s="25"/>
      <c r="FV766" s="27"/>
      <c r="FW766" s="27"/>
      <c r="FX766" s="27"/>
      <c r="FY766" s="25"/>
      <c r="FZ766" s="25"/>
      <c r="GA766" s="25"/>
      <c r="GB766" s="25"/>
      <c r="GC766" s="25"/>
      <c r="GD766" s="25"/>
      <c r="GE766" s="25"/>
      <c r="GF766" s="25"/>
      <c r="GG766" s="25"/>
      <c r="GH766" s="25"/>
      <c r="GI766" s="25"/>
      <c r="GJ766" s="25"/>
      <c r="GK766" s="25"/>
      <c r="GL766" s="65"/>
      <c r="GM766" s="25"/>
      <c r="GN766" s="25"/>
      <c r="GO766" s="25"/>
      <c r="GP766" s="25"/>
      <c r="GQ766" s="25"/>
      <c r="GR766" s="25"/>
      <c r="GS766" s="64"/>
      <c r="GT766" s="25"/>
      <c r="GU766" s="25"/>
      <c r="GV766" s="25"/>
      <c r="GW766" s="25"/>
      <c r="GX766" s="64"/>
      <c r="GY766" s="26">
        <v>20</v>
      </c>
      <c r="GZ766" s="25"/>
      <c r="HA766" s="25"/>
      <c r="HB766" s="25"/>
      <c r="HC766" s="65"/>
      <c r="HD766" s="25"/>
      <c r="HE766" s="25"/>
      <c r="HF766" s="25"/>
      <c r="HG766" s="25"/>
      <c r="HH766" s="65"/>
      <c r="HI766" s="25"/>
      <c r="HJ766" s="25"/>
      <c r="HK766" s="25"/>
      <c r="HL766" s="25"/>
    </row>
    <row r="767" spans="1:220" ht="15.75" customHeight="1" x14ac:dyDescent="0.2">
      <c r="A767" s="58">
        <v>43696.492812500001</v>
      </c>
      <c r="B767" s="32">
        <v>590794</v>
      </c>
      <c r="C767" s="26">
        <v>20</v>
      </c>
      <c r="D767" s="86" t="s">
        <v>808</v>
      </c>
      <c r="E767" s="32">
        <f t="shared" si="22"/>
        <v>0</v>
      </c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  <c r="FJ767" s="25"/>
      <c r="FK767" s="25"/>
      <c r="FL767" s="25"/>
      <c r="FM767" s="25"/>
      <c r="FN767" s="25"/>
      <c r="FO767" s="25"/>
      <c r="FP767" s="25"/>
      <c r="FQ767" s="25"/>
      <c r="FR767" s="25"/>
      <c r="FS767" s="25"/>
      <c r="FT767" s="25"/>
      <c r="FU767" s="25"/>
      <c r="FV767" s="27"/>
      <c r="FW767" s="27"/>
      <c r="FX767" s="27"/>
      <c r="FY767" s="25"/>
      <c r="FZ767" s="25"/>
      <c r="GA767" s="25"/>
      <c r="GB767" s="25"/>
      <c r="GC767" s="25"/>
      <c r="GD767" s="25"/>
      <c r="GE767" s="25"/>
      <c r="GF767" s="25"/>
      <c r="GG767" s="25"/>
      <c r="GH767" s="25"/>
      <c r="GI767" s="25"/>
      <c r="GJ767" s="25"/>
      <c r="GK767" s="25"/>
      <c r="GL767" s="65"/>
      <c r="GM767" s="25"/>
      <c r="GN767" s="25"/>
      <c r="GO767" s="25"/>
      <c r="GP767" s="25"/>
      <c r="GQ767" s="25"/>
      <c r="GR767" s="25"/>
      <c r="GS767" s="64"/>
      <c r="GT767" s="25"/>
      <c r="GU767" s="25"/>
      <c r="GV767" s="25"/>
      <c r="GW767" s="25"/>
      <c r="GX767" s="64"/>
      <c r="GY767" s="26">
        <v>20</v>
      </c>
      <c r="GZ767" s="25"/>
      <c r="HA767" s="25"/>
      <c r="HB767" s="25"/>
      <c r="HC767" s="65"/>
      <c r="HD767" s="25"/>
      <c r="HE767" s="25"/>
      <c r="HF767" s="25"/>
      <c r="HG767" s="25"/>
      <c r="HH767" s="65"/>
      <c r="HI767" s="25"/>
      <c r="HJ767" s="25"/>
      <c r="HK767" s="25"/>
      <c r="HL767" s="25"/>
    </row>
    <row r="768" spans="1:220" ht="15.75" customHeight="1" x14ac:dyDescent="0.2">
      <c r="A768" s="58">
        <v>43696.541493055556</v>
      </c>
      <c r="B768" s="32">
        <v>590801</v>
      </c>
      <c r="C768" s="26">
        <v>50</v>
      </c>
      <c r="D768" s="86" t="s">
        <v>809</v>
      </c>
      <c r="E768" s="32">
        <f t="shared" si="22"/>
        <v>0</v>
      </c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  <c r="FJ768" s="25"/>
      <c r="FK768" s="25"/>
      <c r="FL768" s="25"/>
      <c r="FM768" s="25"/>
      <c r="FN768" s="25"/>
      <c r="FO768" s="25"/>
      <c r="FP768" s="25"/>
      <c r="FQ768" s="25"/>
      <c r="FR768" s="25"/>
      <c r="FS768" s="25"/>
      <c r="FT768" s="25"/>
      <c r="FU768" s="25"/>
      <c r="FV768" s="27"/>
      <c r="FW768" s="27"/>
      <c r="FX768" s="27"/>
      <c r="FY768" s="25"/>
      <c r="FZ768" s="25"/>
      <c r="GA768" s="25"/>
      <c r="GB768" s="25"/>
      <c r="GC768" s="25"/>
      <c r="GD768" s="25"/>
      <c r="GE768" s="25"/>
      <c r="GF768" s="25"/>
      <c r="GG768" s="25"/>
      <c r="GH768" s="25"/>
      <c r="GI768" s="25"/>
      <c r="GJ768" s="25"/>
      <c r="GK768" s="25"/>
      <c r="GL768" s="65"/>
      <c r="GM768" s="25"/>
      <c r="GN768" s="25"/>
      <c r="GO768" s="25"/>
      <c r="GP768" s="25"/>
      <c r="GQ768" s="25"/>
      <c r="GR768" s="25"/>
      <c r="GS768" s="64"/>
      <c r="GT768" s="25"/>
      <c r="GU768" s="25"/>
      <c r="GV768" s="25"/>
      <c r="GW768" s="25"/>
      <c r="GX768" s="64"/>
      <c r="GY768" s="26">
        <v>50</v>
      </c>
      <c r="GZ768" s="25"/>
      <c r="HA768" s="25"/>
      <c r="HB768" s="25"/>
      <c r="HC768" s="65"/>
      <c r="HD768" s="25"/>
      <c r="HE768" s="25"/>
      <c r="HF768" s="25"/>
      <c r="HG768" s="25"/>
      <c r="HH768" s="65"/>
      <c r="HI768" s="25"/>
      <c r="HJ768" s="25"/>
      <c r="HK768" s="25"/>
      <c r="HL768" s="25"/>
    </row>
    <row r="769" spans="1:220" ht="15.75" customHeight="1" x14ac:dyDescent="0.2">
      <c r="A769" s="58">
        <v>43691.387071759258</v>
      </c>
      <c r="B769" s="32">
        <v>590051</v>
      </c>
      <c r="C769" s="26">
        <v>53.165999999999997</v>
      </c>
      <c r="D769" s="86" t="s">
        <v>810</v>
      </c>
      <c r="E769" s="32">
        <f t="shared" si="22"/>
        <v>8.6999999999996191E-2</v>
      </c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  <c r="FJ769" s="25"/>
      <c r="FK769" s="25"/>
      <c r="FL769" s="25"/>
      <c r="FM769" s="25"/>
      <c r="FN769" s="25"/>
      <c r="FO769" s="25"/>
      <c r="FP769" s="25"/>
      <c r="FQ769" s="25"/>
      <c r="FR769" s="25"/>
      <c r="FS769" s="25"/>
      <c r="FT769" s="25"/>
      <c r="FU769" s="25"/>
      <c r="FV769" s="27"/>
      <c r="FW769" s="27"/>
      <c r="FX769" s="27"/>
      <c r="FY769" s="25"/>
      <c r="FZ769" s="25"/>
      <c r="GA769" s="25"/>
      <c r="GB769" s="25"/>
      <c r="GC769" s="25"/>
      <c r="GD769" s="25"/>
      <c r="GE769" s="25"/>
      <c r="GF769" s="25"/>
      <c r="GG769" s="25"/>
      <c r="GH769" s="25"/>
      <c r="GI769" s="25"/>
      <c r="GJ769" s="25"/>
      <c r="GK769" s="25"/>
      <c r="GL769" s="65"/>
      <c r="GM769" s="25"/>
      <c r="GN769" s="25"/>
      <c r="GO769" s="25"/>
      <c r="GP769" s="25"/>
      <c r="GQ769" s="25"/>
      <c r="GR769" s="25"/>
      <c r="GS769" s="64"/>
      <c r="GT769" s="25"/>
      <c r="GU769" s="25"/>
      <c r="GV769" s="25"/>
      <c r="GW769" s="25"/>
      <c r="GX769" s="64"/>
      <c r="GY769" s="25"/>
      <c r="GZ769" s="25"/>
      <c r="HA769" s="25"/>
      <c r="HB769" s="26">
        <v>23.079000000000001</v>
      </c>
      <c r="HC769" s="65">
        <v>30</v>
      </c>
      <c r="HD769" s="25"/>
      <c r="HE769" s="25"/>
      <c r="HF769" s="25"/>
      <c r="HG769" s="25"/>
      <c r="HH769" s="65"/>
      <c r="HI769" s="25"/>
      <c r="HJ769" s="25"/>
      <c r="HK769" s="25"/>
      <c r="HL769" s="25"/>
    </row>
    <row r="770" spans="1:220" ht="15.75" customHeight="1" x14ac:dyDescent="0.2">
      <c r="A770" s="58">
        <v>43691.387071759258</v>
      </c>
      <c r="B770" s="32">
        <v>590051</v>
      </c>
      <c r="C770" s="26">
        <v>44.905000000000001</v>
      </c>
      <c r="D770" s="86" t="s">
        <v>811</v>
      </c>
      <c r="E770" s="32">
        <f t="shared" si="22"/>
        <v>0</v>
      </c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  <c r="FJ770" s="25"/>
      <c r="FK770" s="25"/>
      <c r="FL770" s="25"/>
      <c r="FM770" s="25"/>
      <c r="FN770" s="25"/>
      <c r="FO770" s="25"/>
      <c r="FP770" s="25"/>
      <c r="FQ770" s="25"/>
      <c r="FR770" s="25"/>
      <c r="FS770" s="25"/>
      <c r="FT770" s="25"/>
      <c r="FU770" s="25"/>
      <c r="FV770" s="27"/>
      <c r="FW770" s="27"/>
      <c r="FX770" s="27"/>
      <c r="FY770" s="25"/>
      <c r="FZ770" s="25"/>
      <c r="GA770" s="25"/>
      <c r="GB770" s="25"/>
      <c r="GC770" s="25"/>
      <c r="GD770" s="25"/>
      <c r="GE770" s="25"/>
      <c r="GF770" s="25"/>
      <c r="GG770" s="25"/>
      <c r="GH770" s="25"/>
      <c r="GI770" s="25"/>
      <c r="GJ770" s="25"/>
      <c r="GK770" s="25"/>
      <c r="GL770" s="65"/>
      <c r="GM770" s="25"/>
      <c r="GN770" s="25"/>
      <c r="GO770" s="25"/>
      <c r="GP770" s="25"/>
      <c r="GQ770" s="25"/>
      <c r="GR770" s="25"/>
      <c r="GS770" s="64"/>
      <c r="GT770" s="25"/>
      <c r="GU770" s="25"/>
      <c r="GV770" s="25"/>
      <c r="GW770" s="25"/>
      <c r="GX770" s="64"/>
      <c r="GY770" s="25"/>
      <c r="GZ770" s="25"/>
      <c r="HA770" s="25"/>
      <c r="HB770" s="25"/>
      <c r="HC770" s="65"/>
      <c r="HD770" s="26">
        <v>44.905000000000001</v>
      </c>
      <c r="HE770" s="25"/>
      <c r="HF770" s="25"/>
      <c r="HG770" s="25"/>
      <c r="HH770" s="65"/>
      <c r="HI770" s="25"/>
      <c r="HJ770" s="25"/>
      <c r="HK770" s="25"/>
      <c r="HL770" s="25"/>
    </row>
    <row r="771" spans="1:220" ht="15.75" customHeight="1" x14ac:dyDescent="0.2">
      <c r="A771" s="58">
        <v>43691.387071759258</v>
      </c>
      <c r="B771" s="32">
        <v>590051</v>
      </c>
      <c r="C771" s="26">
        <v>47.87</v>
      </c>
      <c r="D771" s="86" t="s">
        <v>812</v>
      </c>
      <c r="E771" s="32">
        <f t="shared" si="22"/>
        <v>0</v>
      </c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  <c r="FJ771" s="25"/>
      <c r="FK771" s="25"/>
      <c r="FL771" s="25"/>
      <c r="FM771" s="25"/>
      <c r="FN771" s="25"/>
      <c r="FO771" s="25"/>
      <c r="FP771" s="25"/>
      <c r="FQ771" s="25"/>
      <c r="FR771" s="25"/>
      <c r="FS771" s="25"/>
      <c r="FT771" s="25"/>
      <c r="FU771" s="25"/>
      <c r="FV771" s="27"/>
      <c r="FW771" s="27"/>
      <c r="FX771" s="27"/>
      <c r="FY771" s="25"/>
      <c r="FZ771" s="25"/>
      <c r="GA771" s="25"/>
      <c r="GB771" s="25"/>
      <c r="GC771" s="25"/>
      <c r="GD771" s="25"/>
      <c r="GE771" s="25"/>
      <c r="GF771" s="25"/>
      <c r="GG771" s="25"/>
      <c r="GH771" s="25"/>
      <c r="GI771" s="25"/>
      <c r="GJ771" s="25"/>
      <c r="GK771" s="25"/>
      <c r="GL771" s="65"/>
      <c r="GM771" s="25"/>
      <c r="GN771" s="25"/>
      <c r="GO771" s="25"/>
      <c r="GP771" s="25"/>
      <c r="GQ771" s="25"/>
      <c r="GR771" s="25"/>
      <c r="GS771" s="64"/>
      <c r="GT771" s="25"/>
      <c r="GU771" s="25"/>
      <c r="GV771" s="25"/>
      <c r="GW771" s="25"/>
      <c r="GX771" s="64"/>
      <c r="GY771" s="25"/>
      <c r="GZ771" s="25"/>
      <c r="HA771" s="25"/>
      <c r="HB771" s="25"/>
      <c r="HC771" s="65">
        <v>37.869999999999997</v>
      </c>
      <c r="HD771" s="26">
        <v>10</v>
      </c>
      <c r="HE771" s="25"/>
      <c r="HF771" s="25"/>
      <c r="HG771" s="25"/>
      <c r="HH771" s="65"/>
      <c r="HI771" s="25"/>
      <c r="HJ771" s="25"/>
      <c r="HK771" s="25"/>
      <c r="HL771" s="25"/>
    </row>
    <row r="772" spans="1:220" ht="15.75" customHeight="1" x14ac:dyDescent="0.2">
      <c r="A772" s="58">
        <v>43691.387071759258</v>
      </c>
      <c r="B772" s="32">
        <v>590051</v>
      </c>
      <c r="C772" s="26">
        <v>54.454999999999998</v>
      </c>
      <c r="D772" s="86" t="s">
        <v>813</v>
      </c>
      <c r="E772" s="32">
        <f t="shared" si="22"/>
        <v>0</v>
      </c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  <c r="FJ772" s="25"/>
      <c r="FK772" s="25"/>
      <c r="FL772" s="25"/>
      <c r="FM772" s="25"/>
      <c r="FN772" s="25"/>
      <c r="FO772" s="25"/>
      <c r="FP772" s="25"/>
      <c r="FQ772" s="25"/>
      <c r="FR772" s="25"/>
      <c r="FS772" s="25"/>
      <c r="FT772" s="25"/>
      <c r="FU772" s="25"/>
      <c r="FV772" s="27"/>
      <c r="FW772" s="27"/>
      <c r="FX772" s="27"/>
      <c r="FY772" s="25"/>
      <c r="FZ772" s="25"/>
      <c r="GA772" s="25"/>
      <c r="GB772" s="25"/>
      <c r="GC772" s="25"/>
      <c r="GD772" s="25"/>
      <c r="GE772" s="25"/>
      <c r="GF772" s="25"/>
      <c r="GG772" s="25"/>
      <c r="GH772" s="25"/>
      <c r="GI772" s="25"/>
      <c r="GJ772" s="25"/>
      <c r="GK772" s="25"/>
      <c r="GL772" s="65"/>
      <c r="GM772" s="25"/>
      <c r="GN772" s="25"/>
      <c r="GO772" s="25"/>
      <c r="GP772" s="25"/>
      <c r="GQ772" s="25"/>
      <c r="GR772" s="25"/>
      <c r="GS772" s="64"/>
      <c r="GT772" s="25"/>
      <c r="GU772" s="25"/>
      <c r="GV772" s="25"/>
      <c r="GW772" s="25"/>
      <c r="GX772" s="64"/>
      <c r="GY772" s="25"/>
      <c r="GZ772" s="25"/>
      <c r="HA772" s="25"/>
      <c r="HB772" s="25"/>
      <c r="HC772" s="65">
        <v>54.454999999999998</v>
      </c>
      <c r="HD772" s="25"/>
      <c r="HE772" s="25"/>
      <c r="HF772" s="25"/>
      <c r="HG772" s="25"/>
      <c r="HH772" s="65"/>
      <c r="HI772" s="25"/>
      <c r="HJ772" s="25"/>
      <c r="HK772" s="25"/>
      <c r="HL772" s="25"/>
    </row>
    <row r="773" spans="1:220" ht="15.75" customHeight="1" x14ac:dyDescent="0.2">
      <c r="A773" s="58">
        <v>43691.387071759258</v>
      </c>
      <c r="B773" s="32">
        <v>590051</v>
      </c>
      <c r="C773" s="26">
        <v>47.828000000000003</v>
      </c>
      <c r="D773" s="86" t="s">
        <v>814</v>
      </c>
      <c r="E773" s="32">
        <f t="shared" si="22"/>
        <v>8.0000000000026716E-3</v>
      </c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  <c r="FJ773" s="25"/>
      <c r="FK773" s="25"/>
      <c r="FL773" s="25"/>
      <c r="FM773" s="25"/>
      <c r="FN773" s="25"/>
      <c r="FO773" s="25"/>
      <c r="FP773" s="25"/>
      <c r="FQ773" s="25"/>
      <c r="FR773" s="25"/>
      <c r="FS773" s="25"/>
      <c r="FT773" s="25"/>
      <c r="FU773" s="25"/>
      <c r="FV773" s="27"/>
      <c r="FW773" s="27"/>
      <c r="FX773" s="27"/>
      <c r="FY773" s="25"/>
      <c r="FZ773" s="25"/>
      <c r="GA773" s="25"/>
      <c r="GB773" s="25"/>
      <c r="GC773" s="25"/>
      <c r="GD773" s="25"/>
      <c r="GE773" s="25"/>
      <c r="GF773" s="25"/>
      <c r="GG773" s="25"/>
      <c r="GH773" s="25"/>
      <c r="GI773" s="25"/>
      <c r="GJ773" s="25"/>
      <c r="GK773" s="25"/>
      <c r="GL773" s="65"/>
      <c r="GM773" s="25"/>
      <c r="GN773" s="25"/>
      <c r="GO773" s="25"/>
      <c r="GP773" s="25"/>
      <c r="GQ773" s="25"/>
      <c r="GR773" s="25"/>
      <c r="GS773" s="64"/>
      <c r="GT773" s="25"/>
      <c r="GU773" s="25"/>
      <c r="GV773" s="25"/>
      <c r="GW773" s="25"/>
      <c r="GX773" s="64"/>
      <c r="GY773" s="25"/>
      <c r="GZ773" s="25"/>
      <c r="HA773" s="25"/>
      <c r="HB773" s="25"/>
      <c r="HC773" s="65">
        <v>27.8</v>
      </c>
      <c r="HD773" s="26">
        <v>20.02</v>
      </c>
      <c r="HE773" s="25"/>
      <c r="HF773" s="25"/>
      <c r="HG773" s="25"/>
      <c r="HH773" s="65"/>
      <c r="HI773" s="25"/>
      <c r="HJ773" s="25"/>
      <c r="HK773" s="25"/>
      <c r="HL773" s="25"/>
    </row>
    <row r="774" spans="1:220" ht="15.75" customHeight="1" x14ac:dyDescent="0.2">
      <c r="A774" s="58">
        <v>43690.123425925929</v>
      </c>
      <c r="B774" s="32">
        <v>589859</v>
      </c>
      <c r="C774" s="26">
        <v>79.418000000000006</v>
      </c>
      <c r="D774" s="86" t="s">
        <v>815</v>
      </c>
      <c r="E774" s="32">
        <f t="shared" si="22"/>
        <v>0</v>
      </c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  <c r="FJ774" s="25"/>
      <c r="FK774" s="25"/>
      <c r="FL774" s="25"/>
      <c r="FM774" s="25"/>
      <c r="FN774" s="25"/>
      <c r="FO774" s="25"/>
      <c r="FP774" s="25"/>
      <c r="FQ774" s="25"/>
      <c r="FR774" s="25"/>
      <c r="FS774" s="25"/>
      <c r="FT774" s="25"/>
      <c r="FU774" s="25"/>
      <c r="FV774" s="27"/>
      <c r="FW774" s="27"/>
      <c r="FX774" s="27"/>
      <c r="FY774" s="25"/>
      <c r="FZ774" s="25"/>
      <c r="GA774" s="25"/>
      <c r="GB774" s="25"/>
      <c r="GC774" s="25"/>
      <c r="GD774" s="25"/>
      <c r="GE774" s="25"/>
      <c r="GF774" s="25"/>
      <c r="GG774" s="25"/>
      <c r="GH774" s="25"/>
      <c r="GI774" s="25"/>
      <c r="GJ774" s="25"/>
      <c r="GK774" s="25"/>
      <c r="GL774" s="65"/>
      <c r="GM774" s="25"/>
      <c r="GN774" s="25"/>
      <c r="GO774" s="25"/>
      <c r="GP774" s="25"/>
      <c r="GQ774" s="25"/>
      <c r="GR774" s="25"/>
      <c r="GS774" s="64"/>
      <c r="GT774" s="25"/>
      <c r="GU774" s="25"/>
      <c r="GV774" s="25"/>
      <c r="GW774" s="25"/>
      <c r="GX774" s="64"/>
      <c r="GY774" s="25"/>
      <c r="GZ774" s="25"/>
      <c r="HA774" s="25"/>
      <c r="HB774" s="25"/>
      <c r="HC774" s="65">
        <v>79.418000000000006</v>
      </c>
      <c r="HD774" s="25"/>
      <c r="HE774" s="25"/>
      <c r="HF774" s="25"/>
      <c r="HG774" s="25"/>
      <c r="HH774" s="65"/>
      <c r="HI774" s="25"/>
      <c r="HJ774" s="25"/>
      <c r="HK774" s="25"/>
      <c r="HL774" s="25"/>
    </row>
    <row r="775" spans="1:220" ht="15.75" customHeight="1" x14ac:dyDescent="0.2">
      <c r="A775" s="58">
        <v>43695.337407407409</v>
      </c>
      <c r="B775" s="32">
        <v>590626</v>
      </c>
      <c r="C775" s="26">
        <v>27.98</v>
      </c>
      <c r="D775" s="86" t="s">
        <v>816</v>
      </c>
      <c r="E775" s="32">
        <f t="shared" si="22"/>
        <v>0</v>
      </c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  <c r="FJ775" s="25"/>
      <c r="FK775" s="25"/>
      <c r="FL775" s="25"/>
      <c r="FM775" s="25"/>
      <c r="FN775" s="25"/>
      <c r="FO775" s="25"/>
      <c r="FP775" s="25"/>
      <c r="FQ775" s="25"/>
      <c r="FR775" s="25"/>
      <c r="FS775" s="25"/>
      <c r="FT775" s="25"/>
      <c r="FU775" s="25"/>
      <c r="FV775" s="27"/>
      <c r="FW775" s="27"/>
      <c r="FX775" s="27"/>
      <c r="FY775" s="25"/>
      <c r="FZ775" s="25"/>
      <c r="GA775" s="25"/>
      <c r="GB775" s="25"/>
      <c r="GC775" s="25"/>
      <c r="GD775" s="25"/>
      <c r="GE775" s="25"/>
      <c r="GF775" s="25"/>
      <c r="GG775" s="25"/>
      <c r="GH775" s="25"/>
      <c r="GI775" s="25"/>
      <c r="GJ775" s="25"/>
      <c r="GK775" s="25"/>
      <c r="GL775" s="65"/>
      <c r="GM775" s="25"/>
      <c r="GN775" s="25"/>
      <c r="GO775" s="25"/>
      <c r="GP775" s="25"/>
      <c r="GQ775" s="25"/>
      <c r="GR775" s="25"/>
      <c r="GS775" s="64"/>
      <c r="GT775" s="25"/>
      <c r="GU775" s="25"/>
      <c r="GV775" s="25"/>
      <c r="GW775" s="25"/>
      <c r="GX775" s="64"/>
      <c r="GY775" s="26">
        <v>27.98</v>
      </c>
      <c r="GZ775" s="25"/>
      <c r="HA775" s="25"/>
      <c r="HB775" s="25"/>
      <c r="HC775" s="65"/>
      <c r="HD775" s="25"/>
      <c r="HE775" s="25"/>
      <c r="HF775" s="25"/>
      <c r="HG775" s="25"/>
      <c r="HH775" s="65"/>
      <c r="HI775" s="25"/>
      <c r="HJ775" s="25"/>
      <c r="HK775" s="25"/>
      <c r="HL775" s="25"/>
    </row>
    <row r="776" spans="1:220" ht="15.75" customHeight="1" x14ac:dyDescent="0.2">
      <c r="A776" s="58">
        <v>43691.387071759258</v>
      </c>
      <c r="B776" s="32">
        <v>590051</v>
      </c>
      <c r="C776" s="26">
        <v>47.734999999999999</v>
      </c>
      <c r="D776" s="86" t="s">
        <v>817</v>
      </c>
      <c r="E776" s="32">
        <f t="shared" si="22"/>
        <v>1.5000000000000568E-3</v>
      </c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  <c r="FJ776" s="25"/>
      <c r="FK776" s="25"/>
      <c r="FL776" s="25"/>
      <c r="FM776" s="25"/>
      <c r="FN776" s="25"/>
      <c r="FO776" s="25"/>
      <c r="FP776" s="25"/>
      <c r="FQ776" s="25"/>
      <c r="FR776" s="25"/>
      <c r="FS776" s="25"/>
      <c r="FT776" s="25"/>
      <c r="FU776" s="25"/>
      <c r="FV776" s="27"/>
      <c r="FW776" s="27"/>
      <c r="FX776" s="27"/>
      <c r="FY776" s="25"/>
      <c r="FZ776" s="25"/>
      <c r="GA776" s="25"/>
      <c r="GB776" s="25"/>
      <c r="GC776" s="25"/>
      <c r="GD776" s="25"/>
      <c r="GE776" s="25"/>
      <c r="GF776" s="25"/>
      <c r="GG776" s="25"/>
      <c r="GH776" s="25"/>
      <c r="GI776" s="25"/>
      <c r="GJ776" s="25"/>
      <c r="GK776" s="25"/>
      <c r="GL776" s="65"/>
      <c r="GM776" s="25"/>
      <c r="GN776" s="25"/>
      <c r="GO776" s="25"/>
      <c r="GP776" s="25"/>
      <c r="GQ776" s="25"/>
      <c r="GR776" s="25"/>
      <c r="GS776" s="64"/>
      <c r="GT776" s="25"/>
      <c r="GU776" s="25"/>
      <c r="GV776" s="25"/>
      <c r="GW776" s="25"/>
      <c r="GX776" s="64"/>
      <c r="GY776" s="25"/>
      <c r="GZ776" s="25"/>
      <c r="HA776" s="25"/>
      <c r="HB776" s="25"/>
      <c r="HC776" s="65">
        <v>37.72</v>
      </c>
      <c r="HD776" s="26">
        <v>10.013500000000001</v>
      </c>
      <c r="HE776" s="25"/>
      <c r="HF776" s="25"/>
      <c r="HG776" s="25"/>
      <c r="HH776" s="65"/>
      <c r="HI776" s="25"/>
      <c r="HJ776" s="25"/>
      <c r="HK776" s="25"/>
      <c r="HL776" s="25"/>
    </row>
    <row r="777" spans="1:220" ht="15.75" customHeight="1" x14ac:dyDescent="0.2">
      <c r="A777" s="58">
        <v>43695.415266203701</v>
      </c>
      <c r="B777" s="32">
        <v>590636</v>
      </c>
      <c r="C777" s="26">
        <v>27.91</v>
      </c>
      <c r="D777" s="86" t="s">
        <v>818</v>
      </c>
      <c r="E777" s="32">
        <f t="shared" si="22"/>
        <v>1.0000000000001563E-2</v>
      </c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  <c r="FJ777" s="25"/>
      <c r="FK777" s="25"/>
      <c r="FL777" s="25"/>
      <c r="FM777" s="25"/>
      <c r="FN777" s="25"/>
      <c r="FO777" s="25"/>
      <c r="FP777" s="25"/>
      <c r="FQ777" s="25"/>
      <c r="FR777" s="25"/>
      <c r="FS777" s="25"/>
      <c r="FT777" s="25"/>
      <c r="FU777" s="25"/>
      <c r="FV777" s="27"/>
      <c r="FW777" s="27"/>
      <c r="FX777" s="27"/>
      <c r="FY777" s="25"/>
      <c r="FZ777" s="25"/>
      <c r="GA777" s="25"/>
      <c r="GB777" s="25"/>
      <c r="GC777" s="25"/>
      <c r="GD777" s="25"/>
      <c r="GE777" s="25"/>
      <c r="GF777" s="25"/>
      <c r="GG777" s="25"/>
      <c r="GH777" s="25"/>
      <c r="GI777" s="25"/>
      <c r="GJ777" s="25"/>
      <c r="GK777" s="25"/>
      <c r="GL777" s="65"/>
      <c r="GM777" s="25"/>
      <c r="GN777" s="25"/>
      <c r="GO777" s="25"/>
      <c r="GP777" s="25"/>
      <c r="GQ777" s="25"/>
      <c r="GR777" s="25"/>
      <c r="GS777" s="64"/>
      <c r="GT777" s="25"/>
      <c r="GU777" s="25"/>
      <c r="GV777" s="25"/>
      <c r="GW777" s="25"/>
      <c r="GX777" s="64"/>
      <c r="GY777" s="25"/>
      <c r="GZ777" s="26">
        <v>27.9</v>
      </c>
      <c r="HA777" s="25"/>
      <c r="HB777" s="25"/>
      <c r="HC777" s="65"/>
      <c r="HD777" s="25"/>
      <c r="HE777" s="25"/>
      <c r="HF777" s="25"/>
      <c r="HG777" s="25"/>
      <c r="HH777" s="65"/>
      <c r="HI777" s="25"/>
      <c r="HJ777" s="25"/>
      <c r="HK777" s="25"/>
      <c r="HL777" s="25"/>
    </row>
    <row r="778" spans="1:220" ht="15.75" customHeight="1" x14ac:dyDescent="0.2">
      <c r="A778" s="58">
        <v>43686.153831018521</v>
      </c>
      <c r="B778" s="32">
        <v>589277</v>
      </c>
      <c r="C778" s="26">
        <v>50</v>
      </c>
      <c r="D778" s="86" t="s">
        <v>819</v>
      </c>
      <c r="E778" s="32">
        <f t="shared" si="22"/>
        <v>0</v>
      </c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  <c r="FJ778" s="25"/>
      <c r="FK778" s="25"/>
      <c r="FL778" s="25"/>
      <c r="FM778" s="25"/>
      <c r="FN778" s="25"/>
      <c r="FO778" s="25"/>
      <c r="FP778" s="25"/>
      <c r="FQ778" s="25"/>
      <c r="FR778" s="25"/>
      <c r="FS778" s="25"/>
      <c r="FT778" s="25"/>
      <c r="FU778" s="25"/>
      <c r="FV778" s="27"/>
      <c r="FW778" s="27"/>
      <c r="FX778" s="27"/>
      <c r="FY778" s="25"/>
      <c r="FZ778" s="25"/>
      <c r="GA778" s="25"/>
      <c r="GB778" s="25"/>
      <c r="GC778" s="25"/>
      <c r="GD778" s="25"/>
      <c r="GE778" s="25"/>
      <c r="GF778" s="25"/>
      <c r="GG778" s="25"/>
      <c r="GH778" s="25"/>
      <c r="GI778" s="25"/>
      <c r="GJ778" s="25"/>
      <c r="GK778" s="25"/>
      <c r="GL778" s="65"/>
      <c r="GM778" s="25"/>
      <c r="GN778" s="25"/>
      <c r="GO778" s="25"/>
      <c r="GP778" s="25"/>
      <c r="GQ778" s="25"/>
      <c r="GR778" s="25"/>
      <c r="GS778" s="64"/>
      <c r="GT778" s="25"/>
      <c r="GU778" s="25"/>
      <c r="GV778" s="25"/>
      <c r="GW778" s="25"/>
      <c r="GX778" s="64"/>
      <c r="GY778" s="25"/>
      <c r="GZ778" s="25"/>
      <c r="HA778" s="25"/>
      <c r="HB778" s="25"/>
      <c r="HC778" s="65"/>
      <c r="HD778" s="25"/>
      <c r="HE778" s="25"/>
      <c r="HF778" s="25"/>
      <c r="HG778" s="25"/>
      <c r="HH778" s="65"/>
      <c r="HI778" s="26">
        <v>50</v>
      </c>
      <c r="HJ778" s="25"/>
      <c r="HK778" s="25"/>
      <c r="HL778" s="25"/>
    </row>
    <row r="779" spans="1:220" ht="15.75" customHeight="1" x14ac:dyDescent="0.2">
      <c r="A779" s="58">
        <v>43686.183136574073</v>
      </c>
      <c r="B779" s="32">
        <v>589280</v>
      </c>
      <c r="C779" s="26">
        <v>100</v>
      </c>
      <c r="D779" s="86" t="s">
        <v>820</v>
      </c>
      <c r="E779" s="32">
        <f t="shared" si="22"/>
        <v>0</v>
      </c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  <c r="FJ779" s="25"/>
      <c r="FK779" s="25"/>
      <c r="FL779" s="25"/>
      <c r="FM779" s="25"/>
      <c r="FN779" s="25"/>
      <c r="FO779" s="25"/>
      <c r="FP779" s="25"/>
      <c r="FQ779" s="25"/>
      <c r="FR779" s="25"/>
      <c r="FS779" s="25"/>
      <c r="FT779" s="25"/>
      <c r="FU779" s="25"/>
      <c r="FV779" s="27"/>
      <c r="FW779" s="27"/>
      <c r="FX779" s="27"/>
      <c r="FY779" s="25"/>
      <c r="FZ779" s="25"/>
      <c r="GA779" s="25"/>
      <c r="GB779" s="25"/>
      <c r="GC779" s="25"/>
      <c r="GD779" s="25"/>
      <c r="GE779" s="25"/>
      <c r="GF779" s="25"/>
      <c r="GG779" s="25"/>
      <c r="GH779" s="25"/>
      <c r="GI779" s="25"/>
      <c r="GJ779" s="25"/>
      <c r="GK779" s="25"/>
      <c r="GL779" s="65"/>
      <c r="GM779" s="25"/>
      <c r="GN779" s="25"/>
      <c r="GO779" s="25"/>
      <c r="GP779" s="25"/>
      <c r="GQ779" s="25"/>
      <c r="GR779" s="25"/>
      <c r="GS779" s="64"/>
      <c r="GT779" s="25"/>
      <c r="GU779" s="25"/>
      <c r="GV779" s="25"/>
      <c r="GW779" s="25"/>
      <c r="GX779" s="64"/>
      <c r="GY779" s="25"/>
      <c r="GZ779" s="25"/>
      <c r="HA779" s="25"/>
      <c r="HB779" s="25"/>
      <c r="HC779" s="65"/>
      <c r="HD779" s="25"/>
      <c r="HE779" s="25"/>
      <c r="HF779" s="25"/>
      <c r="HG779" s="25"/>
      <c r="HH779" s="65"/>
      <c r="HI779" s="26">
        <v>100</v>
      </c>
      <c r="HJ779" s="25"/>
      <c r="HK779" s="25"/>
      <c r="HL779" s="25"/>
    </row>
    <row r="780" spans="1:220" ht="15.75" customHeight="1" x14ac:dyDescent="0.2">
      <c r="A780" s="58">
        <v>43686.231944444444</v>
      </c>
      <c r="B780" s="32">
        <v>589287</v>
      </c>
      <c r="C780" s="26">
        <v>35</v>
      </c>
      <c r="D780" s="86" t="s">
        <v>821</v>
      </c>
      <c r="E780" s="32">
        <f t="shared" si="22"/>
        <v>0</v>
      </c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  <c r="FJ780" s="25"/>
      <c r="FK780" s="25"/>
      <c r="FL780" s="25"/>
      <c r="FM780" s="25"/>
      <c r="FN780" s="25"/>
      <c r="FO780" s="25"/>
      <c r="FP780" s="25"/>
      <c r="FQ780" s="25"/>
      <c r="FR780" s="25"/>
      <c r="FS780" s="25"/>
      <c r="FT780" s="25"/>
      <c r="FU780" s="25"/>
      <c r="FV780" s="27"/>
      <c r="FW780" s="27"/>
      <c r="FX780" s="27"/>
      <c r="FY780" s="25"/>
      <c r="FZ780" s="25"/>
      <c r="GA780" s="25"/>
      <c r="GB780" s="25"/>
      <c r="GC780" s="25"/>
      <c r="GD780" s="25"/>
      <c r="GE780" s="25"/>
      <c r="GF780" s="25"/>
      <c r="GG780" s="25"/>
      <c r="GH780" s="25"/>
      <c r="GI780" s="25"/>
      <c r="GJ780" s="25"/>
      <c r="GK780" s="25"/>
      <c r="GL780" s="65"/>
      <c r="GM780" s="25"/>
      <c r="GN780" s="25"/>
      <c r="GO780" s="25"/>
      <c r="GP780" s="25"/>
      <c r="GQ780" s="25"/>
      <c r="GR780" s="25"/>
      <c r="GS780" s="64"/>
      <c r="GT780" s="25"/>
      <c r="GU780" s="25"/>
      <c r="GV780" s="25"/>
      <c r="GW780" s="25"/>
      <c r="GX780" s="64"/>
      <c r="GY780" s="25"/>
      <c r="GZ780" s="25"/>
      <c r="HA780" s="25"/>
      <c r="HB780" s="25"/>
      <c r="HC780" s="65"/>
      <c r="HD780" s="25"/>
      <c r="HE780" s="25"/>
      <c r="HF780" s="25"/>
      <c r="HG780" s="25"/>
      <c r="HH780" s="65"/>
      <c r="HI780" s="26">
        <v>35</v>
      </c>
      <c r="HJ780" s="25"/>
      <c r="HK780" s="25"/>
      <c r="HL780" s="25"/>
    </row>
    <row r="781" spans="1:220" ht="15.75" customHeight="1" x14ac:dyDescent="0.2">
      <c r="A781" s="58">
        <v>43686.299293981479</v>
      </c>
      <c r="B781" s="32">
        <v>589298</v>
      </c>
      <c r="C781" s="26">
        <v>40</v>
      </c>
      <c r="D781" s="86" t="s">
        <v>822</v>
      </c>
      <c r="E781" s="32">
        <f t="shared" si="22"/>
        <v>0</v>
      </c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  <c r="FJ781" s="25"/>
      <c r="FK781" s="25"/>
      <c r="FL781" s="25"/>
      <c r="FM781" s="25"/>
      <c r="FN781" s="25"/>
      <c r="FO781" s="25"/>
      <c r="FP781" s="25"/>
      <c r="FQ781" s="25"/>
      <c r="FR781" s="25"/>
      <c r="FS781" s="25"/>
      <c r="FT781" s="25"/>
      <c r="FU781" s="25"/>
      <c r="FV781" s="27"/>
      <c r="FW781" s="27"/>
      <c r="FX781" s="27"/>
      <c r="FY781" s="25"/>
      <c r="FZ781" s="25"/>
      <c r="GA781" s="25"/>
      <c r="GB781" s="25"/>
      <c r="GC781" s="25"/>
      <c r="GD781" s="25"/>
      <c r="GE781" s="25"/>
      <c r="GF781" s="25"/>
      <c r="GG781" s="25"/>
      <c r="GH781" s="25"/>
      <c r="GI781" s="25"/>
      <c r="GJ781" s="25"/>
      <c r="GK781" s="25"/>
      <c r="GL781" s="65"/>
      <c r="GM781" s="25"/>
      <c r="GN781" s="25"/>
      <c r="GO781" s="25"/>
      <c r="GP781" s="25"/>
      <c r="GQ781" s="25"/>
      <c r="GR781" s="25"/>
      <c r="GS781" s="64"/>
      <c r="GT781" s="25"/>
      <c r="GU781" s="25"/>
      <c r="GV781" s="25"/>
      <c r="GW781" s="25"/>
      <c r="GX781" s="64"/>
      <c r="GY781" s="25"/>
      <c r="GZ781" s="25"/>
      <c r="HA781" s="25"/>
      <c r="HB781" s="25"/>
      <c r="HC781" s="65"/>
      <c r="HD781" s="25"/>
      <c r="HE781" s="25"/>
      <c r="HF781" s="25"/>
      <c r="HG781" s="25"/>
      <c r="HH781" s="65"/>
      <c r="HI781" s="26">
        <v>40</v>
      </c>
      <c r="HJ781" s="25"/>
      <c r="HK781" s="25"/>
      <c r="HL781" s="25"/>
    </row>
    <row r="782" spans="1:220" ht="15.75" customHeight="1" x14ac:dyDescent="0.2">
      <c r="A782" s="58">
        <v>43686.299293981479</v>
      </c>
      <c r="B782" s="32">
        <v>589298</v>
      </c>
      <c r="C782" s="26">
        <v>47</v>
      </c>
      <c r="D782" s="86" t="s">
        <v>823</v>
      </c>
      <c r="E782" s="32">
        <f t="shared" si="22"/>
        <v>0</v>
      </c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  <c r="FJ782" s="25"/>
      <c r="FK782" s="25"/>
      <c r="FL782" s="25"/>
      <c r="FM782" s="25"/>
      <c r="FN782" s="25"/>
      <c r="FO782" s="25"/>
      <c r="FP782" s="25"/>
      <c r="FQ782" s="25"/>
      <c r="FR782" s="25"/>
      <c r="FS782" s="25"/>
      <c r="FT782" s="25"/>
      <c r="FU782" s="25"/>
      <c r="FV782" s="27"/>
      <c r="FW782" s="27"/>
      <c r="FX782" s="27"/>
      <c r="FY782" s="25"/>
      <c r="FZ782" s="25"/>
      <c r="GA782" s="25"/>
      <c r="GB782" s="25"/>
      <c r="GC782" s="25"/>
      <c r="GD782" s="25"/>
      <c r="GE782" s="25"/>
      <c r="GF782" s="25"/>
      <c r="GG782" s="25"/>
      <c r="GH782" s="25"/>
      <c r="GI782" s="25"/>
      <c r="GJ782" s="25"/>
      <c r="GK782" s="25"/>
      <c r="GL782" s="65"/>
      <c r="GM782" s="25"/>
      <c r="GN782" s="25"/>
      <c r="GO782" s="25"/>
      <c r="GP782" s="25"/>
      <c r="GQ782" s="25"/>
      <c r="GR782" s="25"/>
      <c r="GS782" s="64"/>
      <c r="GT782" s="25"/>
      <c r="GU782" s="25"/>
      <c r="GV782" s="25"/>
      <c r="GW782" s="25"/>
      <c r="GX782" s="64"/>
      <c r="GY782" s="25"/>
      <c r="GZ782" s="25"/>
      <c r="HA782" s="25"/>
      <c r="HB782" s="25"/>
      <c r="HC782" s="65"/>
      <c r="HD782" s="25"/>
      <c r="HE782" s="25"/>
      <c r="HF782" s="25"/>
      <c r="HG782" s="25"/>
      <c r="HH782" s="65"/>
      <c r="HI782" s="26">
        <v>47</v>
      </c>
      <c r="HJ782" s="25"/>
      <c r="HK782" s="25"/>
      <c r="HL782" s="25"/>
    </row>
    <row r="783" spans="1:220" ht="15.75" customHeight="1" x14ac:dyDescent="0.2">
      <c r="A783" s="58">
        <v>43686.299293981479</v>
      </c>
      <c r="B783" s="32">
        <v>589298</v>
      </c>
      <c r="C783" s="26">
        <v>3</v>
      </c>
      <c r="D783" s="86" t="s">
        <v>824</v>
      </c>
      <c r="E783" s="32">
        <f t="shared" si="22"/>
        <v>0</v>
      </c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  <c r="FJ783" s="25"/>
      <c r="FK783" s="25"/>
      <c r="FL783" s="25"/>
      <c r="FM783" s="25"/>
      <c r="FN783" s="25"/>
      <c r="FO783" s="25"/>
      <c r="FP783" s="25"/>
      <c r="FQ783" s="25"/>
      <c r="FR783" s="25"/>
      <c r="FS783" s="25"/>
      <c r="FT783" s="25"/>
      <c r="FU783" s="25"/>
      <c r="FV783" s="27"/>
      <c r="FW783" s="27"/>
      <c r="FX783" s="27"/>
      <c r="FY783" s="25"/>
      <c r="FZ783" s="25"/>
      <c r="GA783" s="25"/>
      <c r="GB783" s="25"/>
      <c r="GC783" s="25"/>
      <c r="GD783" s="25"/>
      <c r="GE783" s="25"/>
      <c r="GF783" s="25"/>
      <c r="GG783" s="25"/>
      <c r="GH783" s="25"/>
      <c r="GI783" s="25"/>
      <c r="GJ783" s="25"/>
      <c r="GK783" s="25"/>
      <c r="GL783" s="65"/>
      <c r="GM783" s="25"/>
      <c r="GN783" s="25"/>
      <c r="GO783" s="25"/>
      <c r="GP783" s="25"/>
      <c r="GQ783" s="25"/>
      <c r="GR783" s="25"/>
      <c r="GS783" s="64"/>
      <c r="GT783" s="25"/>
      <c r="GU783" s="25"/>
      <c r="GV783" s="25"/>
      <c r="GW783" s="25"/>
      <c r="GX783" s="64"/>
      <c r="GY783" s="25"/>
      <c r="GZ783" s="25"/>
      <c r="HA783" s="25"/>
      <c r="HB783" s="25"/>
      <c r="HC783" s="65"/>
      <c r="HD783" s="25"/>
      <c r="HE783" s="25"/>
      <c r="HF783" s="25"/>
      <c r="HG783" s="25"/>
      <c r="HH783" s="65"/>
      <c r="HI783" s="26">
        <v>3</v>
      </c>
      <c r="HJ783" s="25"/>
      <c r="HK783" s="25"/>
      <c r="HL783" s="25"/>
    </row>
    <row r="784" spans="1:220" ht="15.75" customHeight="1" x14ac:dyDescent="0.2">
      <c r="A784" s="58">
        <v>43686.309791666667</v>
      </c>
      <c r="B784" s="32">
        <v>589299</v>
      </c>
      <c r="C784" s="26">
        <v>25</v>
      </c>
      <c r="D784" s="86" t="s">
        <v>825</v>
      </c>
      <c r="E784" s="32">
        <f t="shared" si="22"/>
        <v>0</v>
      </c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  <c r="FJ784" s="25"/>
      <c r="FK784" s="25"/>
      <c r="FL784" s="25"/>
      <c r="FM784" s="25"/>
      <c r="FN784" s="25"/>
      <c r="FO784" s="25"/>
      <c r="FP784" s="25"/>
      <c r="FQ784" s="25"/>
      <c r="FR784" s="25"/>
      <c r="FS784" s="25"/>
      <c r="FT784" s="25"/>
      <c r="FU784" s="25"/>
      <c r="FV784" s="27"/>
      <c r="FW784" s="27"/>
      <c r="FX784" s="27"/>
      <c r="FY784" s="25"/>
      <c r="FZ784" s="25"/>
      <c r="GA784" s="25"/>
      <c r="GB784" s="25"/>
      <c r="GC784" s="25"/>
      <c r="GD784" s="25"/>
      <c r="GE784" s="25"/>
      <c r="GF784" s="25"/>
      <c r="GG784" s="25"/>
      <c r="GH784" s="25"/>
      <c r="GI784" s="25"/>
      <c r="GJ784" s="25"/>
      <c r="GK784" s="25"/>
      <c r="GL784" s="65"/>
      <c r="GM784" s="25"/>
      <c r="GN784" s="25"/>
      <c r="GO784" s="25"/>
      <c r="GP784" s="25"/>
      <c r="GQ784" s="25"/>
      <c r="GR784" s="25"/>
      <c r="GS784" s="64"/>
      <c r="GT784" s="25"/>
      <c r="GU784" s="25"/>
      <c r="GV784" s="25"/>
      <c r="GW784" s="25"/>
      <c r="GX784" s="64"/>
      <c r="GY784" s="25"/>
      <c r="GZ784" s="25"/>
      <c r="HA784" s="25"/>
      <c r="HB784" s="25"/>
      <c r="HC784" s="65"/>
      <c r="HD784" s="25"/>
      <c r="HE784" s="25"/>
      <c r="HF784" s="25"/>
      <c r="HG784" s="25"/>
      <c r="HH784" s="65"/>
      <c r="HI784" s="26">
        <v>25</v>
      </c>
      <c r="HJ784" s="25"/>
      <c r="HK784" s="25"/>
      <c r="HL784" s="25"/>
    </row>
    <row r="785" spans="1:220" ht="15.75" customHeight="1" x14ac:dyDescent="0.2">
      <c r="A785" s="58">
        <v>43686.309791666667</v>
      </c>
      <c r="B785" s="32">
        <v>589299</v>
      </c>
      <c r="C785" s="26">
        <v>50</v>
      </c>
      <c r="D785" s="86" t="s">
        <v>826</v>
      </c>
      <c r="E785" s="32">
        <f t="shared" si="22"/>
        <v>0</v>
      </c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  <c r="FJ785" s="25"/>
      <c r="FK785" s="25"/>
      <c r="FL785" s="25"/>
      <c r="FM785" s="25"/>
      <c r="FN785" s="25"/>
      <c r="FO785" s="25"/>
      <c r="FP785" s="25"/>
      <c r="FQ785" s="25"/>
      <c r="FR785" s="25"/>
      <c r="FS785" s="25"/>
      <c r="FT785" s="25"/>
      <c r="FU785" s="25"/>
      <c r="FV785" s="27"/>
      <c r="FW785" s="27"/>
      <c r="FX785" s="27"/>
      <c r="FY785" s="25"/>
      <c r="FZ785" s="25"/>
      <c r="GA785" s="25"/>
      <c r="GB785" s="25"/>
      <c r="GC785" s="25"/>
      <c r="GD785" s="25"/>
      <c r="GE785" s="25"/>
      <c r="GF785" s="25"/>
      <c r="GG785" s="25"/>
      <c r="GH785" s="25"/>
      <c r="GI785" s="25"/>
      <c r="GJ785" s="25"/>
      <c r="GK785" s="25"/>
      <c r="GL785" s="65"/>
      <c r="GM785" s="25"/>
      <c r="GN785" s="25"/>
      <c r="GO785" s="25"/>
      <c r="GP785" s="25"/>
      <c r="GQ785" s="25"/>
      <c r="GR785" s="25"/>
      <c r="GS785" s="64"/>
      <c r="GT785" s="25"/>
      <c r="GU785" s="25"/>
      <c r="GV785" s="25"/>
      <c r="GW785" s="25"/>
      <c r="GX785" s="64"/>
      <c r="GY785" s="25"/>
      <c r="GZ785" s="25"/>
      <c r="HA785" s="25"/>
      <c r="HB785" s="25"/>
      <c r="HC785" s="65"/>
      <c r="HD785" s="25"/>
      <c r="HE785" s="25"/>
      <c r="HF785" s="25"/>
      <c r="HG785" s="25"/>
      <c r="HH785" s="65"/>
      <c r="HI785" s="26">
        <v>50</v>
      </c>
      <c r="HJ785" s="25"/>
      <c r="HK785" s="25"/>
      <c r="HL785" s="25"/>
    </row>
    <row r="786" spans="1:220" ht="15.75" customHeight="1" x14ac:dyDescent="0.2">
      <c r="A786" s="58">
        <v>43686.126192129632</v>
      </c>
      <c r="B786" s="32">
        <v>589275</v>
      </c>
      <c r="C786" s="26">
        <v>20.100000000000001</v>
      </c>
      <c r="D786" s="86" t="s">
        <v>827</v>
      </c>
      <c r="E786" s="32">
        <f t="shared" si="22"/>
        <v>0</v>
      </c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  <c r="FJ786" s="25"/>
      <c r="FK786" s="25"/>
      <c r="FL786" s="25"/>
      <c r="FM786" s="25"/>
      <c r="FN786" s="25"/>
      <c r="FO786" s="25"/>
      <c r="FP786" s="25"/>
      <c r="FQ786" s="25"/>
      <c r="FR786" s="25"/>
      <c r="FS786" s="25"/>
      <c r="FT786" s="25"/>
      <c r="FU786" s="25"/>
      <c r="FV786" s="27"/>
      <c r="FW786" s="27"/>
      <c r="FX786" s="27"/>
      <c r="FY786" s="25"/>
      <c r="FZ786" s="25"/>
      <c r="GA786" s="25"/>
      <c r="GB786" s="25"/>
      <c r="GC786" s="25"/>
      <c r="GD786" s="25"/>
      <c r="GE786" s="25"/>
      <c r="GF786" s="25"/>
      <c r="GG786" s="25"/>
      <c r="GH786" s="25"/>
      <c r="GI786" s="25"/>
      <c r="GJ786" s="25"/>
      <c r="GK786" s="25"/>
      <c r="GL786" s="65"/>
      <c r="GM786" s="25"/>
      <c r="GN786" s="25"/>
      <c r="GO786" s="25"/>
      <c r="GP786" s="25"/>
      <c r="GQ786" s="25"/>
      <c r="GR786" s="25"/>
      <c r="GS786" s="64"/>
      <c r="GT786" s="25"/>
      <c r="GU786" s="25"/>
      <c r="GV786" s="25"/>
      <c r="GW786" s="25"/>
      <c r="GX786" s="64"/>
      <c r="GY786" s="25"/>
      <c r="GZ786" s="25"/>
      <c r="HA786" s="25"/>
      <c r="HB786" s="25"/>
      <c r="HC786" s="65"/>
      <c r="HD786" s="25"/>
      <c r="HE786" s="25"/>
      <c r="HF786" s="25"/>
      <c r="HG786" s="25"/>
      <c r="HH786" s="65"/>
      <c r="HI786" s="26">
        <v>20.100000000000001</v>
      </c>
      <c r="HJ786" s="25"/>
      <c r="HK786" s="25"/>
      <c r="HL786" s="25"/>
    </row>
    <row r="787" spans="1:220" ht="15.75" customHeight="1" x14ac:dyDescent="0.2">
      <c r="A787" s="58">
        <v>43686.357407407406</v>
      </c>
      <c r="B787" s="32">
        <v>589306</v>
      </c>
      <c r="C787" s="26">
        <v>50</v>
      </c>
      <c r="D787" s="86" t="s">
        <v>828</v>
      </c>
      <c r="E787" s="32">
        <f t="shared" si="22"/>
        <v>0</v>
      </c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  <c r="FJ787" s="25"/>
      <c r="FK787" s="25"/>
      <c r="FL787" s="25"/>
      <c r="FM787" s="25"/>
      <c r="FN787" s="25"/>
      <c r="FO787" s="25"/>
      <c r="FP787" s="25"/>
      <c r="FQ787" s="25"/>
      <c r="FR787" s="25"/>
      <c r="FS787" s="25"/>
      <c r="FT787" s="25"/>
      <c r="FU787" s="25"/>
      <c r="FV787" s="27"/>
      <c r="FW787" s="27"/>
      <c r="FX787" s="27"/>
      <c r="FY787" s="25"/>
      <c r="FZ787" s="25"/>
      <c r="GA787" s="25"/>
      <c r="GB787" s="25"/>
      <c r="GC787" s="25"/>
      <c r="GD787" s="25"/>
      <c r="GE787" s="25"/>
      <c r="GF787" s="25"/>
      <c r="GG787" s="25"/>
      <c r="GH787" s="25"/>
      <c r="GI787" s="25"/>
      <c r="GJ787" s="25"/>
      <c r="GK787" s="25"/>
      <c r="GL787" s="65"/>
      <c r="GM787" s="25"/>
      <c r="GN787" s="25"/>
      <c r="GO787" s="25"/>
      <c r="GP787" s="25"/>
      <c r="GQ787" s="25"/>
      <c r="GR787" s="25"/>
      <c r="GS787" s="64"/>
      <c r="GT787" s="25"/>
      <c r="GU787" s="25"/>
      <c r="GV787" s="25"/>
      <c r="GW787" s="25"/>
      <c r="GX787" s="64"/>
      <c r="GY787" s="25"/>
      <c r="GZ787" s="25"/>
      <c r="HA787" s="25"/>
      <c r="HB787" s="25"/>
      <c r="HC787" s="65"/>
      <c r="HD787" s="25"/>
      <c r="HE787" s="25"/>
      <c r="HF787" s="25"/>
      <c r="HG787" s="25"/>
      <c r="HH787" s="65"/>
      <c r="HI787" s="26">
        <v>50</v>
      </c>
      <c r="HJ787" s="25"/>
      <c r="HK787" s="25"/>
      <c r="HL787" s="25"/>
    </row>
    <row r="788" spans="1:220" ht="15.75" customHeight="1" x14ac:dyDescent="0.2">
      <c r="A788" s="58">
        <v>43686.369398148148</v>
      </c>
      <c r="B788" s="32">
        <v>589308</v>
      </c>
      <c r="C788" s="26">
        <v>40</v>
      </c>
      <c r="D788" s="86" t="s">
        <v>829</v>
      </c>
      <c r="E788" s="32">
        <f t="shared" si="22"/>
        <v>0</v>
      </c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  <c r="FJ788" s="25"/>
      <c r="FK788" s="25"/>
      <c r="FL788" s="25"/>
      <c r="FM788" s="25"/>
      <c r="FN788" s="25"/>
      <c r="FO788" s="25"/>
      <c r="FP788" s="25"/>
      <c r="FQ788" s="25"/>
      <c r="FR788" s="25"/>
      <c r="FS788" s="25"/>
      <c r="FT788" s="25"/>
      <c r="FU788" s="25"/>
      <c r="FV788" s="27"/>
      <c r="FW788" s="27"/>
      <c r="FX788" s="27"/>
      <c r="FY788" s="25"/>
      <c r="FZ788" s="25"/>
      <c r="GA788" s="25"/>
      <c r="GB788" s="25"/>
      <c r="GC788" s="25"/>
      <c r="GD788" s="25"/>
      <c r="GE788" s="25"/>
      <c r="GF788" s="25"/>
      <c r="GG788" s="25"/>
      <c r="GH788" s="25"/>
      <c r="GI788" s="25"/>
      <c r="GJ788" s="25"/>
      <c r="GK788" s="25"/>
      <c r="GL788" s="65"/>
      <c r="GM788" s="25"/>
      <c r="GN788" s="25"/>
      <c r="GO788" s="25"/>
      <c r="GP788" s="25"/>
      <c r="GQ788" s="25"/>
      <c r="GR788" s="25"/>
      <c r="GS788" s="64"/>
      <c r="GT788" s="25"/>
      <c r="GU788" s="25"/>
      <c r="GV788" s="25"/>
      <c r="GW788" s="25"/>
      <c r="GX788" s="64"/>
      <c r="GY788" s="25"/>
      <c r="GZ788" s="25"/>
      <c r="HA788" s="25"/>
      <c r="HB788" s="25"/>
      <c r="HC788" s="65"/>
      <c r="HD788" s="25"/>
      <c r="HE788" s="25"/>
      <c r="HF788" s="25"/>
      <c r="HG788" s="25"/>
      <c r="HH788" s="65"/>
      <c r="HI788" s="26">
        <v>40</v>
      </c>
      <c r="HJ788" s="25"/>
      <c r="HK788" s="25"/>
      <c r="HL788" s="25"/>
    </row>
    <row r="789" spans="1:220" ht="15.75" customHeight="1" x14ac:dyDescent="0.2">
      <c r="A789" s="58">
        <v>43686.374606481484</v>
      </c>
      <c r="B789" s="32">
        <v>589309</v>
      </c>
      <c r="C789" s="26">
        <v>100</v>
      </c>
      <c r="D789" s="86" t="s">
        <v>830</v>
      </c>
      <c r="E789" s="32">
        <f t="shared" si="22"/>
        <v>0</v>
      </c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  <c r="FJ789" s="25"/>
      <c r="FK789" s="25"/>
      <c r="FL789" s="25"/>
      <c r="FM789" s="25"/>
      <c r="FN789" s="25"/>
      <c r="FO789" s="25"/>
      <c r="FP789" s="25"/>
      <c r="FQ789" s="25"/>
      <c r="FR789" s="25"/>
      <c r="FS789" s="25"/>
      <c r="FT789" s="25"/>
      <c r="FU789" s="25"/>
      <c r="FV789" s="77"/>
      <c r="FW789" s="28"/>
      <c r="FX789" s="28"/>
      <c r="FY789" s="26"/>
      <c r="FZ789" s="26"/>
      <c r="GA789" s="26"/>
      <c r="GB789" s="26"/>
      <c r="GC789" s="26"/>
      <c r="GD789" s="26"/>
      <c r="GE789" s="26"/>
      <c r="GF789" s="26"/>
      <c r="GG789" s="26"/>
      <c r="GH789" s="26"/>
      <c r="GI789" s="26"/>
      <c r="GJ789" s="26"/>
      <c r="GK789" s="26"/>
      <c r="GL789" s="65"/>
      <c r="GM789" s="26"/>
      <c r="GN789" s="26"/>
      <c r="GO789" s="26"/>
      <c r="GP789" s="26"/>
      <c r="GQ789" s="26"/>
      <c r="GR789" s="26"/>
      <c r="GS789" s="64"/>
      <c r="GT789" s="26"/>
      <c r="GU789" s="26"/>
      <c r="GV789" s="26"/>
      <c r="GW789" s="26"/>
      <c r="GX789" s="64"/>
      <c r="GY789" s="26"/>
      <c r="GZ789" s="26"/>
      <c r="HA789" s="26"/>
      <c r="HB789" s="26"/>
      <c r="HC789" s="65"/>
      <c r="HD789" s="26"/>
      <c r="HE789" s="26"/>
      <c r="HF789" s="26"/>
      <c r="HG789" s="26"/>
      <c r="HH789" s="65"/>
      <c r="HI789" s="26">
        <v>100</v>
      </c>
      <c r="HJ789" s="26"/>
      <c r="HK789" s="25"/>
      <c r="HL789" s="25"/>
    </row>
    <row r="790" spans="1:220" ht="15.75" customHeight="1" x14ac:dyDescent="0.2">
      <c r="A790" s="58">
        <v>43686.387650462966</v>
      </c>
      <c r="B790" s="32">
        <v>589311</v>
      </c>
      <c r="C790" s="26">
        <v>100</v>
      </c>
      <c r="D790" s="86" t="s">
        <v>831</v>
      </c>
      <c r="E790" s="32">
        <f t="shared" si="22"/>
        <v>0</v>
      </c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  <c r="FJ790" s="25"/>
      <c r="FK790" s="25"/>
      <c r="FL790" s="25"/>
      <c r="FM790" s="25"/>
      <c r="FN790" s="25"/>
      <c r="FO790" s="25"/>
      <c r="FP790" s="25"/>
      <c r="FQ790" s="25"/>
      <c r="FR790" s="25"/>
      <c r="FS790" s="25"/>
      <c r="FT790" s="25"/>
      <c r="FU790" s="25"/>
      <c r="FV790" s="77"/>
      <c r="FW790" s="28"/>
      <c r="FX790" s="28"/>
      <c r="FY790" s="26"/>
      <c r="FZ790" s="26"/>
      <c r="GA790" s="26"/>
      <c r="GB790" s="26"/>
      <c r="GC790" s="26"/>
      <c r="GD790" s="26"/>
      <c r="GE790" s="26"/>
      <c r="GF790" s="26"/>
      <c r="GG790" s="26"/>
      <c r="GH790" s="26"/>
      <c r="GI790" s="26"/>
      <c r="GJ790" s="26"/>
      <c r="GK790" s="26"/>
      <c r="GL790" s="65"/>
      <c r="GM790" s="26"/>
      <c r="GN790" s="26"/>
      <c r="GO790" s="26"/>
      <c r="GP790" s="26"/>
      <c r="GQ790" s="26"/>
      <c r="GR790" s="26"/>
      <c r="GS790" s="64"/>
      <c r="GT790" s="26"/>
      <c r="GU790" s="26"/>
      <c r="GV790" s="26"/>
      <c r="GW790" s="26"/>
      <c r="GX790" s="64"/>
      <c r="GY790" s="26"/>
      <c r="GZ790" s="26"/>
      <c r="HA790" s="26"/>
      <c r="HB790" s="26"/>
      <c r="HC790" s="65"/>
      <c r="HD790" s="26"/>
      <c r="HE790" s="26"/>
      <c r="HF790" s="26"/>
      <c r="HG790" s="26"/>
      <c r="HH790" s="65"/>
      <c r="HI790" s="26">
        <v>100</v>
      </c>
      <c r="HJ790" s="26"/>
      <c r="HK790" s="25"/>
      <c r="HL790" s="25"/>
    </row>
    <row r="791" spans="1:220" ht="15.75" customHeight="1" x14ac:dyDescent="0.2">
      <c r="A791" s="58">
        <v>43686.468275462961</v>
      </c>
      <c r="B791" s="32">
        <v>589320</v>
      </c>
      <c r="C791" s="26">
        <v>100</v>
      </c>
      <c r="D791" s="86" t="s">
        <v>832</v>
      </c>
      <c r="E791" s="32">
        <f t="shared" si="22"/>
        <v>0</v>
      </c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  <c r="FJ791" s="25"/>
      <c r="FK791" s="25"/>
      <c r="FL791" s="25"/>
      <c r="FM791" s="25"/>
      <c r="FN791" s="25"/>
      <c r="FO791" s="25"/>
      <c r="FP791" s="25"/>
      <c r="FQ791" s="25"/>
      <c r="FR791" s="25"/>
      <c r="FS791" s="25"/>
      <c r="FT791" s="25"/>
      <c r="FU791" s="25"/>
      <c r="FV791" s="77"/>
      <c r="FW791" s="28"/>
      <c r="FX791" s="28"/>
      <c r="FY791" s="26"/>
      <c r="FZ791" s="26"/>
      <c r="GA791" s="26"/>
      <c r="GB791" s="26"/>
      <c r="GC791" s="26"/>
      <c r="GD791" s="26"/>
      <c r="GE791" s="26"/>
      <c r="GF791" s="26"/>
      <c r="GG791" s="26"/>
      <c r="GH791" s="26"/>
      <c r="GI791" s="26"/>
      <c r="GJ791" s="26"/>
      <c r="GK791" s="26"/>
      <c r="GL791" s="65"/>
      <c r="GM791" s="26"/>
      <c r="GN791" s="26"/>
      <c r="GO791" s="26"/>
      <c r="GP791" s="26"/>
      <c r="GQ791" s="26"/>
      <c r="GR791" s="26"/>
      <c r="GS791" s="64"/>
      <c r="GT791" s="26"/>
      <c r="GU791" s="26"/>
      <c r="GV791" s="26"/>
      <c r="GW791" s="26"/>
      <c r="GX791" s="64"/>
      <c r="GY791" s="26"/>
      <c r="GZ791" s="26"/>
      <c r="HA791" s="26"/>
      <c r="HB791" s="26"/>
      <c r="HC791" s="65"/>
      <c r="HD791" s="26"/>
      <c r="HE791" s="26"/>
      <c r="HF791" s="26"/>
      <c r="HG791" s="26"/>
      <c r="HH791" s="65"/>
      <c r="HI791" s="26">
        <v>100</v>
      </c>
      <c r="HJ791" s="26"/>
      <c r="HK791" s="25"/>
      <c r="HL791" s="25"/>
    </row>
    <row r="792" spans="1:220" ht="15.75" customHeight="1" x14ac:dyDescent="0.2">
      <c r="A792" s="58">
        <v>43686.468275462961</v>
      </c>
      <c r="B792" s="32">
        <v>589320</v>
      </c>
      <c r="C792" s="26">
        <v>25</v>
      </c>
      <c r="D792" s="86" t="s">
        <v>833</v>
      </c>
      <c r="E792" s="32">
        <f t="shared" si="22"/>
        <v>0</v>
      </c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  <c r="FJ792" s="25"/>
      <c r="FK792" s="25"/>
      <c r="FL792" s="25"/>
      <c r="FM792" s="25"/>
      <c r="FN792" s="25"/>
      <c r="FO792" s="25"/>
      <c r="FP792" s="25"/>
      <c r="FQ792" s="25"/>
      <c r="FR792" s="25"/>
      <c r="FS792" s="25"/>
      <c r="FT792" s="25"/>
      <c r="FU792" s="25"/>
      <c r="FV792" s="77"/>
      <c r="FW792" s="28"/>
      <c r="FX792" s="28"/>
      <c r="FY792" s="26"/>
      <c r="FZ792" s="26"/>
      <c r="GA792" s="26"/>
      <c r="GB792" s="26"/>
      <c r="GC792" s="26"/>
      <c r="GD792" s="26"/>
      <c r="GE792" s="26"/>
      <c r="GF792" s="26"/>
      <c r="GG792" s="26"/>
      <c r="GH792" s="26"/>
      <c r="GI792" s="26"/>
      <c r="GJ792" s="26"/>
      <c r="GK792" s="26"/>
      <c r="GL792" s="65"/>
      <c r="GM792" s="26"/>
      <c r="GN792" s="26"/>
      <c r="GO792" s="26"/>
      <c r="GP792" s="26"/>
      <c r="GQ792" s="26"/>
      <c r="GR792" s="26"/>
      <c r="GS792" s="64"/>
      <c r="GT792" s="26"/>
      <c r="GU792" s="26"/>
      <c r="GV792" s="26"/>
      <c r="GW792" s="26"/>
      <c r="GX792" s="64"/>
      <c r="GY792" s="26"/>
      <c r="GZ792" s="26"/>
      <c r="HA792" s="26"/>
      <c r="HB792" s="26"/>
      <c r="HC792" s="65"/>
      <c r="HD792" s="26"/>
      <c r="HE792" s="26"/>
      <c r="HF792" s="26"/>
      <c r="HG792" s="26"/>
      <c r="HH792" s="65"/>
      <c r="HI792" s="26">
        <v>25</v>
      </c>
      <c r="HJ792" s="26"/>
      <c r="HK792" s="25"/>
      <c r="HL792" s="25"/>
    </row>
    <row r="793" spans="1:220" ht="15.75" customHeight="1" x14ac:dyDescent="0.2">
      <c r="A793" s="58">
        <v>43686.491979166669</v>
      </c>
      <c r="B793" s="32">
        <v>589322</v>
      </c>
      <c r="C793" s="26">
        <v>45</v>
      </c>
      <c r="D793" s="86" t="s">
        <v>834</v>
      </c>
      <c r="E793" s="32">
        <f t="shared" si="22"/>
        <v>0</v>
      </c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  <c r="FJ793" s="25"/>
      <c r="FK793" s="25"/>
      <c r="FL793" s="25"/>
      <c r="FM793" s="25"/>
      <c r="FN793" s="25"/>
      <c r="FO793" s="25"/>
      <c r="FP793" s="25"/>
      <c r="FQ793" s="25"/>
      <c r="FR793" s="25"/>
      <c r="FS793" s="25"/>
      <c r="FT793" s="25"/>
      <c r="FU793" s="25"/>
      <c r="FV793" s="77"/>
      <c r="FW793" s="28"/>
      <c r="FX793" s="28"/>
      <c r="FY793" s="26"/>
      <c r="FZ793" s="26"/>
      <c r="GA793" s="26"/>
      <c r="GB793" s="26"/>
      <c r="GC793" s="26"/>
      <c r="GD793" s="26"/>
      <c r="GE793" s="26"/>
      <c r="GF793" s="26"/>
      <c r="GG793" s="26"/>
      <c r="GH793" s="26"/>
      <c r="GI793" s="26"/>
      <c r="GJ793" s="26"/>
      <c r="GK793" s="26"/>
      <c r="GL793" s="65"/>
      <c r="GM793" s="26"/>
      <c r="GN793" s="26"/>
      <c r="GO793" s="26"/>
      <c r="GP793" s="26"/>
      <c r="GQ793" s="26"/>
      <c r="GR793" s="26"/>
      <c r="GS793" s="64"/>
      <c r="GT793" s="26"/>
      <c r="GU793" s="26"/>
      <c r="GV793" s="26"/>
      <c r="GW793" s="26"/>
      <c r="GX793" s="64"/>
      <c r="GY793" s="26"/>
      <c r="GZ793" s="26"/>
      <c r="HA793" s="26"/>
      <c r="HB793" s="26"/>
      <c r="HC793" s="65"/>
      <c r="HD793" s="26"/>
      <c r="HE793" s="26"/>
      <c r="HF793" s="26"/>
      <c r="HG793" s="26"/>
      <c r="HH793" s="65"/>
      <c r="HI793" s="26">
        <v>45</v>
      </c>
      <c r="HJ793" s="26"/>
      <c r="HK793" s="25"/>
      <c r="HL793" s="25"/>
    </row>
    <row r="794" spans="1:220" ht="15.75" customHeight="1" x14ac:dyDescent="0.2">
      <c r="A794" s="58">
        <v>43686.506354166668</v>
      </c>
      <c r="B794" s="32">
        <v>589325</v>
      </c>
      <c r="C794" s="26">
        <v>50</v>
      </c>
      <c r="D794" s="86" t="s">
        <v>835</v>
      </c>
      <c r="E794" s="32">
        <f t="shared" si="22"/>
        <v>0</v>
      </c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  <c r="FJ794" s="25"/>
      <c r="FK794" s="25"/>
      <c r="FL794" s="25"/>
      <c r="FM794" s="25"/>
      <c r="FN794" s="25"/>
      <c r="FO794" s="25"/>
      <c r="FP794" s="25"/>
      <c r="FQ794" s="25"/>
      <c r="FR794" s="25"/>
      <c r="FS794" s="25"/>
      <c r="FT794" s="25"/>
      <c r="FU794" s="25"/>
      <c r="FV794" s="77"/>
      <c r="FW794" s="28"/>
      <c r="FX794" s="28"/>
      <c r="FY794" s="26"/>
      <c r="FZ794" s="26"/>
      <c r="GA794" s="26"/>
      <c r="GB794" s="26"/>
      <c r="GC794" s="26"/>
      <c r="GD794" s="26"/>
      <c r="GE794" s="26"/>
      <c r="GF794" s="26"/>
      <c r="GG794" s="26"/>
      <c r="GH794" s="26"/>
      <c r="GI794" s="26"/>
      <c r="GJ794" s="26"/>
      <c r="GK794" s="26"/>
      <c r="GL794" s="65"/>
      <c r="GM794" s="26"/>
      <c r="GN794" s="26"/>
      <c r="GO794" s="26"/>
      <c r="GP794" s="26"/>
      <c r="GQ794" s="26"/>
      <c r="GR794" s="26"/>
      <c r="GS794" s="64"/>
      <c r="GT794" s="26"/>
      <c r="GU794" s="26"/>
      <c r="GV794" s="26"/>
      <c r="GW794" s="26"/>
      <c r="GX794" s="64"/>
      <c r="GY794" s="26"/>
      <c r="GZ794" s="26"/>
      <c r="HA794" s="26"/>
      <c r="HB794" s="26"/>
      <c r="HC794" s="65"/>
      <c r="HD794" s="26"/>
      <c r="HE794" s="26"/>
      <c r="HF794" s="26"/>
      <c r="HG794" s="26"/>
      <c r="HH794" s="65"/>
      <c r="HI794" s="26">
        <v>50</v>
      </c>
      <c r="HJ794" s="26"/>
      <c r="HK794" s="25"/>
      <c r="HL794" s="25"/>
    </row>
    <row r="795" spans="1:220" ht="15.75" customHeight="1" x14ac:dyDescent="0.2">
      <c r="A795" s="58">
        <v>43686.51253472222</v>
      </c>
      <c r="B795" s="32">
        <v>589326</v>
      </c>
      <c r="C795" s="26">
        <v>30</v>
      </c>
      <c r="D795" s="86" t="s">
        <v>836</v>
      </c>
      <c r="E795" s="32">
        <f t="shared" si="22"/>
        <v>0</v>
      </c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  <c r="FJ795" s="25"/>
      <c r="FK795" s="25"/>
      <c r="FL795" s="25"/>
      <c r="FM795" s="25"/>
      <c r="FN795" s="25"/>
      <c r="FO795" s="25"/>
      <c r="FP795" s="25"/>
      <c r="FQ795" s="25"/>
      <c r="FR795" s="25"/>
      <c r="FS795" s="25"/>
      <c r="FT795" s="25"/>
      <c r="FU795" s="25"/>
      <c r="FV795" s="77"/>
      <c r="FW795" s="28"/>
      <c r="FX795" s="28"/>
      <c r="FY795" s="26"/>
      <c r="FZ795" s="26"/>
      <c r="GA795" s="26"/>
      <c r="GB795" s="26"/>
      <c r="GC795" s="26"/>
      <c r="GD795" s="26"/>
      <c r="GE795" s="26"/>
      <c r="GF795" s="26"/>
      <c r="GG795" s="26"/>
      <c r="GH795" s="26"/>
      <c r="GI795" s="26"/>
      <c r="GJ795" s="26"/>
      <c r="GK795" s="26"/>
      <c r="GL795" s="65"/>
      <c r="GM795" s="26"/>
      <c r="GN795" s="26"/>
      <c r="GO795" s="26"/>
      <c r="GP795" s="26"/>
      <c r="GQ795" s="26"/>
      <c r="GR795" s="26"/>
      <c r="GS795" s="64"/>
      <c r="GT795" s="26"/>
      <c r="GU795" s="26"/>
      <c r="GV795" s="26"/>
      <c r="GW795" s="26"/>
      <c r="GX795" s="64"/>
      <c r="GY795" s="26"/>
      <c r="GZ795" s="26"/>
      <c r="HA795" s="26"/>
      <c r="HB795" s="26"/>
      <c r="HC795" s="65"/>
      <c r="HD795" s="26"/>
      <c r="HE795" s="26"/>
      <c r="HF795" s="26"/>
      <c r="HG795" s="26"/>
      <c r="HH795" s="65"/>
      <c r="HI795" s="26">
        <v>30</v>
      </c>
      <c r="HJ795" s="26"/>
      <c r="HK795" s="25"/>
      <c r="HL795" s="25"/>
    </row>
    <row r="796" spans="1:220" ht="15.75" customHeight="1" x14ac:dyDescent="0.2">
      <c r="A796" s="58">
        <v>43686.515405092592</v>
      </c>
      <c r="B796" s="32">
        <v>589327</v>
      </c>
      <c r="C796" s="26">
        <v>20</v>
      </c>
      <c r="D796" s="86" t="s">
        <v>837</v>
      </c>
      <c r="E796" s="32">
        <f t="shared" si="22"/>
        <v>0</v>
      </c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  <c r="FJ796" s="25"/>
      <c r="FK796" s="25"/>
      <c r="FL796" s="25"/>
      <c r="FM796" s="25"/>
      <c r="FN796" s="25"/>
      <c r="FO796" s="25"/>
      <c r="FP796" s="25"/>
      <c r="FQ796" s="25"/>
      <c r="FR796" s="25"/>
      <c r="FS796" s="25"/>
      <c r="FT796" s="25"/>
      <c r="FU796" s="25"/>
      <c r="FV796" s="77"/>
      <c r="FW796" s="28"/>
      <c r="FX796" s="28"/>
      <c r="FY796" s="26"/>
      <c r="FZ796" s="26"/>
      <c r="GA796" s="26"/>
      <c r="GB796" s="26"/>
      <c r="GC796" s="26"/>
      <c r="GD796" s="26"/>
      <c r="GE796" s="26"/>
      <c r="GF796" s="26"/>
      <c r="GG796" s="26"/>
      <c r="GH796" s="26"/>
      <c r="GI796" s="26"/>
      <c r="GJ796" s="26"/>
      <c r="GK796" s="26"/>
      <c r="GL796" s="65"/>
      <c r="GM796" s="26"/>
      <c r="GN796" s="26"/>
      <c r="GO796" s="26"/>
      <c r="GP796" s="26"/>
      <c r="GQ796" s="26"/>
      <c r="GR796" s="26"/>
      <c r="GS796" s="64"/>
      <c r="GT796" s="26"/>
      <c r="GU796" s="26"/>
      <c r="GV796" s="26"/>
      <c r="GW796" s="26"/>
      <c r="GX796" s="64"/>
      <c r="GY796" s="26"/>
      <c r="GZ796" s="26"/>
      <c r="HA796" s="26"/>
      <c r="HB796" s="26"/>
      <c r="HC796" s="65"/>
      <c r="HD796" s="26"/>
      <c r="HE796" s="26"/>
      <c r="HF796" s="26"/>
      <c r="HG796" s="26"/>
      <c r="HH796" s="65"/>
      <c r="HI796" s="26">
        <v>20</v>
      </c>
      <c r="HJ796" s="26"/>
      <c r="HK796" s="25"/>
      <c r="HL796" s="25"/>
    </row>
    <row r="797" spans="1:220" ht="15.75" customHeight="1" x14ac:dyDescent="0.2">
      <c r="A797" s="58">
        <v>43687.127604166664</v>
      </c>
      <c r="B797" s="32">
        <v>589418</v>
      </c>
      <c r="C797" s="26">
        <v>50</v>
      </c>
      <c r="D797" s="86" t="s">
        <v>838</v>
      </c>
      <c r="E797" s="32">
        <f t="shared" si="22"/>
        <v>0</v>
      </c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  <c r="FJ797" s="25"/>
      <c r="FK797" s="25"/>
      <c r="FL797" s="25"/>
      <c r="FM797" s="25"/>
      <c r="FN797" s="25"/>
      <c r="FO797" s="25"/>
      <c r="FP797" s="25"/>
      <c r="FQ797" s="25"/>
      <c r="FR797" s="25"/>
      <c r="FS797" s="25"/>
      <c r="FT797" s="25"/>
      <c r="FU797" s="25"/>
      <c r="FV797" s="77"/>
      <c r="FW797" s="28"/>
      <c r="FX797" s="28"/>
      <c r="FY797" s="26"/>
      <c r="FZ797" s="26"/>
      <c r="GA797" s="26"/>
      <c r="GB797" s="26"/>
      <c r="GC797" s="26"/>
      <c r="GD797" s="26"/>
      <c r="GE797" s="26"/>
      <c r="GF797" s="26"/>
      <c r="GG797" s="26"/>
      <c r="GH797" s="26"/>
      <c r="GI797" s="26"/>
      <c r="GJ797" s="26"/>
      <c r="GK797" s="26"/>
      <c r="GL797" s="65"/>
      <c r="GM797" s="26"/>
      <c r="GN797" s="26"/>
      <c r="GO797" s="26"/>
      <c r="GP797" s="26"/>
      <c r="GQ797" s="26"/>
      <c r="GR797" s="26"/>
      <c r="GS797" s="64"/>
      <c r="GT797" s="26"/>
      <c r="GU797" s="26"/>
      <c r="GV797" s="26"/>
      <c r="GW797" s="26"/>
      <c r="GX797" s="64"/>
      <c r="GY797" s="26"/>
      <c r="GZ797" s="26"/>
      <c r="HA797" s="26"/>
      <c r="HB797" s="26"/>
      <c r="HC797" s="65"/>
      <c r="HD797" s="26"/>
      <c r="HE797" s="26"/>
      <c r="HF797" s="26"/>
      <c r="HG797" s="26"/>
      <c r="HH797" s="65">
        <v>50</v>
      </c>
      <c r="HI797" s="26"/>
      <c r="HJ797" s="26"/>
      <c r="HK797" s="25"/>
      <c r="HL797" s="25"/>
    </row>
    <row r="798" spans="1:220" ht="15.75" customHeight="1" x14ac:dyDescent="0.2">
      <c r="A798" s="58">
        <v>43687.122083333335</v>
      </c>
      <c r="B798" s="32">
        <v>589417</v>
      </c>
      <c r="C798" s="26">
        <v>19</v>
      </c>
      <c r="D798" s="86" t="s">
        <v>839</v>
      </c>
      <c r="E798" s="32">
        <f t="shared" si="22"/>
        <v>0</v>
      </c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  <c r="FJ798" s="25"/>
      <c r="FK798" s="25"/>
      <c r="FL798" s="25"/>
      <c r="FM798" s="25"/>
      <c r="FN798" s="25"/>
      <c r="FO798" s="25"/>
      <c r="FP798" s="25"/>
      <c r="FQ798" s="25"/>
      <c r="FR798" s="25"/>
      <c r="FS798" s="25"/>
      <c r="FT798" s="25"/>
      <c r="FU798" s="25"/>
      <c r="FV798" s="77"/>
      <c r="FW798" s="28"/>
      <c r="FX798" s="28"/>
      <c r="FY798" s="26"/>
      <c r="FZ798" s="26"/>
      <c r="GA798" s="26"/>
      <c r="GB798" s="26"/>
      <c r="GC798" s="26"/>
      <c r="GD798" s="26"/>
      <c r="GE798" s="26"/>
      <c r="GF798" s="26"/>
      <c r="GG798" s="26"/>
      <c r="GH798" s="26"/>
      <c r="GI798" s="26"/>
      <c r="GJ798" s="26"/>
      <c r="GK798" s="26"/>
      <c r="GL798" s="65"/>
      <c r="GM798" s="26"/>
      <c r="GN798" s="26"/>
      <c r="GO798" s="26"/>
      <c r="GP798" s="26"/>
      <c r="GQ798" s="26"/>
      <c r="GR798" s="26"/>
      <c r="GS798" s="64"/>
      <c r="GT798" s="26"/>
      <c r="GU798" s="26"/>
      <c r="GV798" s="26"/>
      <c r="GW798" s="26"/>
      <c r="GX798" s="64"/>
      <c r="GY798" s="26"/>
      <c r="GZ798" s="26"/>
      <c r="HA798" s="26"/>
      <c r="HB798" s="26"/>
      <c r="HC798" s="65"/>
      <c r="HD798" s="26"/>
      <c r="HE798" s="26"/>
      <c r="HF798" s="26"/>
      <c r="HG798" s="26"/>
      <c r="HH798" s="65">
        <v>19</v>
      </c>
      <c r="HI798" s="26"/>
      <c r="HJ798" s="26"/>
      <c r="HK798" s="25"/>
      <c r="HL798" s="25"/>
    </row>
    <row r="799" spans="1:220" ht="15.75" customHeight="1" x14ac:dyDescent="0.2">
      <c r="A799" s="58">
        <v>43687.127604166664</v>
      </c>
      <c r="B799" s="32">
        <v>589418</v>
      </c>
      <c r="C799" s="26">
        <v>50</v>
      </c>
      <c r="D799" s="86" t="s">
        <v>840</v>
      </c>
      <c r="E799" s="32">
        <f t="shared" si="22"/>
        <v>0</v>
      </c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  <c r="FJ799" s="25"/>
      <c r="FK799" s="25"/>
      <c r="FL799" s="25"/>
      <c r="FM799" s="25"/>
      <c r="FN799" s="25"/>
      <c r="FO799" s="25"/>
      <c r="FP799" s="25"/>
      <c r="FQ799" s="25"/>
      <c r="FR799" s="25"/>
      <c r="FS799" s="25"/>
      <c r="FT799" s="25"/>
      <c r="FU799" s="25"/>
      <c r="FV799" s="77"/>
      <c r="FW799" s="28"/>
      <c r="FX799" s="28"/>
      <c r="FY799" s="26"/>
      <c r="FZ799" s="26"/>
      <c r="GA799" s="26"/>
      <c r="GB799" s="26"/>
      <c r="GC799" s="26"/>
      <c r="GD799" s="26"/>
      <c r="GE799" s="26"/>
      <c r="GF799" s="26"/>
      <c r="GG799" s="26"/>
      <c r="GH799" s="26"/>
      <c r="GI799" s="26"/>
      <c r="GJ799" s="26"/>
      <c r="GK799" s="26"/>
      <c r="GL799" s="65"/>
      <c r="GM799" s="26"/>
      <c r="GN799" s="26"/>
      <c r="GO799" s="26"/>
      <c r="GP799" s="26"/>
      <c r="GQ799" s="26"/>
      <c r="GR799" s="26"/>
      <c r="GS799" s="64"/>
      <c r="GT799" s="26"/>
      <c r="GU799" s="26"/>
      <c r="GV799" s="26"/>
      <c r="GW799" s="26"/>
      <c r="GX799" s="64"/>
      <c r="GY799" s="26"/>
      <c r="GZ799" s="26"/>
      <c r="HA799" s="26"/>
      <c r="HB799" s="26"/>
      <c r="HC799" s="65"/>
      <c r="HD799" s="26"/>
      <c r="HE799" s="26"/>
      <c r="HF799" s="26"/>
      <c r="HG799" s="26"/>
      <c r="HH799" s="65">
        <v>50</v>
      </c>
      <c r="HI799" s="26"/>
      <c r="HJ799" s="26"/>
      <c r="HK799" s="25"/>
      <c r="HL799" s="25"/>
    </row>
    <row r="800" spans="1:220" ht="15.75" customHeight="1" x14ac:dyDescent="0.2">
      <c r="A800" s="58">
        <v>43687.127604166664</v>
      </c>
      <c r="B800" s="32">
        <v>589418</v>
      </c>
      <c r="C800" s="26">
        <v>100</v>
      </c>
      <c r="D800" s="86" t="s">
        <v>841</v>
      </c>
      <c r="E800" s="32">
        <f t="shared" si="22"/>
        <v>0</v>
      </c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  <c r="FJ800" s="25"/>
      <c r="FK800" s="25"/>
      <c r="FL800" s="25"/>
      <c r="FM800" s="25"/>
      <c r="FN800" s="25"/>
      <c r="FO800" s="25"/>
      <c r="FP800" s="25"/>
      <c r="FQ800" s="25"/>
      <c r="FR800" s="25"/>
      <c r="FS800" s="25"/>
      <c r="FT800" s="25"/>
      <c r="FU800" s="25"/>
      <c r="FV800" s="77"/>
      <c r="FW800" s="28"/>
      <c r="FX800" s="28"/>
      <c r="FY800" s="26"/>
      <c r="FZ800" s="26"/>
      <c r="GA800" s="26"/>
      <c r="GB800" s="26"/>
      <c r="GC800" s="26"/>
      <c r="GD800" s="26"/>
      <c r="GE800" s="26"/>
      <c r="GF800" s="26"/>
      <c r="GG800" s="26"/>
      <c r="GH800" s="26"/>
      <c r="GI800" s="26"/>
      <c r="GJ800" s="26"/>
      <c r="GK800" s="26"/>
      <c r="GL800" s="65"/>
      <c r="GM800" s="26"/>
      <c r="GN800" s="26"/>
      <c r="GO800" s="26"/>
      <c r="GP800" s="26"/>
      <c r="GQ800" s="26"/>
      <c r="GR800" s="26"/>
      <c r="GS800" s="64"/>
      <c r="GT800" s="26"/>
      <c r="GU800" s="26"/>
      <c r="GV800" s="26"/>
      <c r="GW800" s="26"/>
      <c r="GX800" s="64"/>
      <c r="GY800" s="26"/>
      <c r="GZ800" s="26"/>
      <c r="HA800" s="26"/>
      <c r="HB800" s="26"/>
      <c r="HC800" s="65"/>
      <c r="HD800" s="26"/>
      <c r="HE800" s="26"/>
      <c r="HF800" s="26"/>
      <c r="HG800" s="26"/>
      <c r="HH800" s="65">
        <v>100</v>
      </c>
      <c r="HI800" s="26"/>
      <c r="HJ800" s="26"/>
      <c r="HK800" s="25"/>
      <c r="HL800" s="25"/>
    </row>
    <row r="801" spans="1:220" ht="15.75" customHeight="1" x14ac:dyDescent="0.2">
      <c r="A801" s="58">
        <v>43687.142685185187</v>
      </c>
      <c r="B801" s="32">
        <v>589420</v>
      </c>
      <c r="C801" s="26">
        <v>50</v>
      </c>
      <c r="D801" s="86" t="s">
        <v>842</v>
      </c>
      <c r="E801" s="32">
        <f t="shared" si="22"/>
        <v>0</v>
      </c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  <c r="FJ801" s="25"/>
      <c r="FK801" s="25"/>
      <c r="FL801" s="25"/>
      <c r="FM801" s="25"/>
      <c r="FN801" s="25"/>
      <c r="FO801" s="25"/>
      <c r="FP801" s="25"/>
      <c r="FQ801" s="25"/>
      <c r="FR801" s="25"/>
      <c r="FS801" s="25"/>
      <c r="FT801" s="25"/>
      <c r="FU801" s="25"/>
      <c r="FV801" s="77"/>
      <c r="FW801" s="28"/>
      <c r="FX801" s="28"/>
      <c r="FY801" s="26"/>
      <c r="FZ801" s="26"/>
      <c r="GA801" s="26"/>
      <c r="GB801" s="26"/>
      <c r="GC801" s="26"/>
      <c r="GD801" s="26"/>
      <c r="GE801" s="26"/>
      <c r="GF801" s="26"/>
      <c r="GG801" s="26"/>
      <c r="GH801" s="26"/>
      <c r="GI801" s="26"/>
      <c r="GJ801" s="26"/>
      <c r="GK801" s="26"/>
      <c r="GL801" s="65"/>
      <c r="GM801" s="26"/>
      <c r="GN801" s="26"/>
      <c r="GO801" s="26"/>
      <c r="GP801" s="26"/>
      <c r="GQ801" s="26"/>
      <c r="GR801" s="26"/>
      <c r="GS801" s="64"/>
      <c r="GT801" s="26"/>
      <c r="GU801" s="26"/>
      <c r="GV801" s="26"/>
      <c r="GW801" s="26"/>
      <c r="GX801" s="64"/>
      <c r="GY801" s="26"/>
      <c r="GZ801" s="26"/>
      <c r="HA801" s="26"/>
      <c r="HB801" s="26"/>
      <c r="HC801" s="65"/>
      <c r="HD801" s="26"/>
      <c r="HE801" s="26"/>
      <c r="HF801" s="26"/>
      <c r="HG801" s="26"/>
      <c r="HH801" s="65">
        <v>50</v>
      </c>
      <c r="HI801" s="26"/>
      <c r="HJ801" s="26"/>
      <c r="HK801" s="25"/>
      <c r="HL801" s="25"/>
    </row>
    <row r="802" spans="1:220" ht="15.75" customHeight="1" x14ac:dyDescent="0.2">
      <c r="A802" s="58">
        <v>43689.107881944445</v>
      </c>
      <c r="B802" s="32">
        <v>589722</v>
      </c>
      <c r="C802" s="26">
        <v>10</v>
      </c>
      <c r="D802" s="86" t="s">
        <v>843</v>
      </c>
      <c r="E802" s="32">
        <f t="shared" si="22"/>
        <v>0</v>
      </c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  <c r="FJ802" s="25"/>
      <c r="FK802" s="25"/>
      <c r="FL802" s="25"/>
      <c r="FM802" s="25"/>
      <c r="FN802" s="25"/>
      <c r="FO802" s="25"/>
      <c r="FP802" s="25"/>
      <c r="FQ802" s="25"/>
      <c r="FR802" s="25"/>
      <c r="FS802" s="25"/>
      <c r="FT802" s="25"/>
      <c r="FU802" s="25"/>
      <c r="FV802" s="77"/>
      <c r="FW802" s="28"/>
      <c r="FX802" s="28"/>
      <c r="FY802" s="26"/>
      <c r="FZ802" s="26"/>
      <c r="GA802" s="26"/>
      <c r="GB802" s="26"/>
      <c r="GC802" s="26"/>
      <c r="GD802" s="26"/>
      <c r="GE802" s="26"/>
      <c r="GF802" s="26"/>
      <c r="GG802" s="26"/>
      <c r="GH802" s="26"/>
      <c r="GI802" s="26"/>
      <c r="GJ802" s="26"/>
      <c r="GK802" s="26"/>
      <c r="GL802" s="65"/>
      <c r="GM802" s="26"/>
      <c r="GN802" s="26"/>
      <c r="GO802" s="26"/>
      <c r="GP802" s="26"/>
      <c r="GQ802" s="26"/>
      <c r="GR802" s="26"/>
      <c r="GS802" s="64"/>
      <c r="GT802" s="26"/>
      <c r="GU802" s="26"/>
      <c r="GV802" s="26"/>
      <c r="GW802" s="26"/>
      <c r="GX802" s="64"/>
      <c r="GY802" s="26"/>
      <c r="GZ802" s="26"/>
      <c r="HA802" s="26"/>
      <c r="HB802" s="26"/>
      <c r="HC802" s="65"/>
      <c r="HD802" s="26"/>
      <c r="HE802" s="26"/>
      <c r="HF802" s="26">
        <v>10</v>
      </c>
      <c r="HG802" s="26"/>
      <c r="HH802" s="65"/>
      <c r="HI802" s="26"/>
      <c r="HJ802" s="26"/>
      <c r="HK802" s="25"/>
      <c r="HL802" s="25"/>
    </row>
    <row r="803" spans="1:220" ht="15.75" customHeight="1" x14ac:dyDescent="0.2">
      <c r="A803" s="58">
        <v>43689.110462962963</v>
      </c>
      <c r="B803" s="32">
        <v>589723</v>
      </c>
      <c r="C803" s="26">
        <v>9</v>
      </c>
      <c r="D803" s="86" t="s">
        <v>844</v>
      </c>
      <c r="E803" s="32">
        <f t="shared" si="22"/>
        <v>0</v>
      </c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  <c r="FJ803" s="25"/>
      <c r="FK803" s="25"/>
      <c r="FL803" s="25"/>
      <c r="FM803" s="25"/>
      <c r="FN803" s="25"/>
      <c r="FO803" s="25"/>
      <c r="FP803" s="25"/>
      <c r="FQ803" s="25"/>
      <c r="FR803" s="25"/>
      <c r="FS803" s="25"/>
      <c r="FT803" s="25"/>
      <c r="FU803" s="25"/>
      <c r="FV803" s="77"/>
      <c r="FW803" s="28"/>
      <c r="FX803" s="28"/>
      <c r="FY803" s="26"/>
      <c r="FZ803" s="26"/>
      <c r="GA803" s="26"/>
      <c r="GB803" s="26"/>
      <c r="GC803" s="26"/>
      <c r="GD803" s="26"/>
      <c r="GE803" s="26"/>
      <c r="GF803" s="26"/>
      <c r="GG803" s="26"/>
      <c r="GH803" s="26"/>
      <c r="GI803" s="26"/>
      <c r="GJ803" s="26"/>
      <c r="GK803" s="26"/>
      <c r="GL803" s="65"/>
      <c r="GM803" s="26"/>
      <c r="GN803" s="26"/>
      <c r="GO803" s="26"/>
      <c r="GP803" s="26"/>
      <c r="GQ803" s="26"/>
      <c r="GR803" s="26"/>
      <c r="GS803" s="64"/>
      <c r="GT803" s="26"/>
      <c r="GU803" s="26"/>
      <c r="GV803" s="26"/>
      <c r="GW803" s="26"/>
      <c r="GX803" s="64"/>
      <c r="GY803" s="26"/>
      <c r="GZ803" s="26"/>
      <c r="HA803" s="26"/>
      <c r="HB803" s="26"/>
      <c r="HC803" s="65"/>
      <c r="HD803" s="26"/>
      <c r="HE803" s="26"/>
      <c r="HF803" s="26">
        <v>9</v>
      </c>
      <c r="HG803" s="26"/>
      <c r="HH803" s="65"/>
      <c r="HI803" s="26"/>
      <c r="HJ803" s="26"/>
      <c r="HK803" s="25"/>
      <c r="HL803" s="25"/>
    </row>
    <row r="804" spans="1:220" ht="15.75" customHeight="1" x14ac:dyDescent="0.2">
      <c r="A804" s="58">
        <v>43689.110462962963</v>
      </c>
      <c r="B804" s="32">
        <v>589723</v>
      </c>
      <c r="C804" s="26">
        <v>1</v>
      </c>
      <c r="D804" s="86" t="s">
        <v>845</v>
      </c>
      <c r="E804" s="32">
        <f t="shared" si="22"/>
        <v>0</v>
      </c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  <c r="FJ804" s="25"/>
      <c r="FK804" s="25"/>
      <c r="FL804" s="25"/>
      <c r="FM804" s="25"/>
      <c r="FN804" s="25"/>
      <c r="FO804" s="25"/>
      <c r="FP804" s="25"/>
      <c r="FQ804" s="25"/>
      <c r="FR804" s="25"/>
      <c r="FS804" s="25"/>
      <c r="FT804" s="25"/>
      <c r="FU804" s="25"/>
      <c r="FV804" s="77"/>
      <c r="FW804" s="28"/>
      <c r="FX804" s="28"/>
      <c r="FY804" s="26"/>
      <c r="FZ804" s="26"/>
      <c r="GA804" s="26"/>
      <c r="GB804" s="26"/>
      <c r="GC804" s="26"/>
      <c r="GD804" s="26"/>
      <c r="GE804" s="26"/>
      <c r="GF804" s="26"/>
      <c r="GG804" s="26"/>
      <c r="GH804" s="26"/>
      <c r="GI804" s="26"/>
      <c r="GJ804" s="26"/>
      <c r="GK804" s="26"/>
      <c r="GL804" s="65"/>
      <c r="GM804" s="26"/>
      <c r="GN804" s="26"/>
      <c r="GO804" s="26"/>
      <c r="GP804" s="26"/>
      <c r="GQ804" s="26"/>
      <c r="GR804" s="26"/>
      <c r="GS804" s="64"/>
      <c r="GT804" s="26"/>
      <c r="GU804" s="26"/>
      <c r="GV804" s="26"/>
      <c r="GW804" s="26"/>
      <c r="GX804" s="64"/>
      <c r="GY804" s="26"/>
      <c r="GZ804" s="26"/>
      <c r="HA804" s="26"/>
      <c r="HB804" s="26"/>
      <c r="HC804" s="65"/>
      <c r="HD804" s="26"/>
      <c r="HE804" s="26"/>
      <c r="HF804" s="26">
        <v>1</v>
      </c>
      <c r="HG804" s="26"/>
      <c r="HH804" s="65"/>
      <c r="HI804" s="26"/>
      <c r="HJ804" s="26"/>
      <c r="HK804" s="25"/>
      <c r="HL804" s="25"/>
    </row>
    <row r="805" spans="1:220" ht="15.75" customHeight="1" x14ac:dyDescent="0.2">
      <c r="A805" s="58">
        <v>43689.150868055556</v>
      </c>
      <c r="B805" s="32">
        <v>589730</v>
      </c>
      <c r="C805" s="26">
        <v>10</v>
      </c>
      <c r="D805" s="86" t="s">
        <v>846</v>
      </c>
      <c r="E805" s="32">
        <f t="shared" si="22"/>
        <v>0</v>
      </c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  <c r="FJ805" s="25"/>
      <c r="FK805" s="25"/>
      <c r="FL805" s="25"/>
      <c r="FM805" s="25"/>
      <c r="FN805" s="25"/>
      <c r="FO805" s="25"/>
      <c r="FP805" s="25"/>
      <c r="FQ805" s="25"/>
      <c r="FR805" s="25"/>
      <c r="FS805" s="25"/>
      <c r="FT805" s="25"/>
      <c r="FU805" s="25"/>
      <c r="FV805" s="77"/>
      <c r="FW805" s="28"/>
      <c r="FX805" s="28"/>
      <c r="FY805" s="26"/>
      <c r="FZ805" s="26"/>
      <c r="GA805" s="26"/>
      <c r="GB805" s="26"/>
      <c r="GC805" s="26"/>
      <c r="GD805" s="26"/>
      <c r="GE805" s="26"/>
      <c r="GF805" s="26"/>
      <c r="GG805" s="26"/>
      <c r="GH805" s="26"/>
      <c r="GI805" s="26"/>
      <c r="GJ805" s="26"/>
      <c r="GK805" s="26"/>
      <c r="GL805" s="65"/>
      <c r="GM805" s="26"/>
      <c r="GN805" s="26"/>
      <c r="GO805" s="26"/>
      <c r="GP805" s="26"/>
      <c r="GQ805" s="26"/>
      <c r="GR805" s="26"/>
      <c r="GS805" s="64"/>
      <c r="GT805" s="26"/>
      <c r="GU805" s="26"/>
      <c r="GV805" s="26"/>
      <c r="GW805" s="26"/>
      <c r="GX805" s="64"/>
      <c r="GY805" s="26"/>
      <c r="GZ805" s="26"/>
      <c r="HA805" s="26"/>
      <c r="HB805" s="26"/>
      <c r="HC805" s="65"/>
      <c r="HD805" s="26"/>
      <c r="HE805" s="26"/>
      <c r="HF805" s="26">
        <v>10</v>
      </c>
      <c r="HG805" s="26"/>
      <c r="HH805" s="65"/>
      <c r="HI805" s="26"/>
      <c r="HJ805" s="26"/>
      <c r="HK805" s="25"/>
      <c r="HL805" s="25"/>
    </row>
    <row r="806" spans="1:220" ht="15.75" customHeight="1" x14ac:dyDescent="0.2">
      <c r="A806" s="58">
        <v>43689.150868055556</v>
      </c>
      <c r="B806" s="32">
        <v>589730</v>
      </c>
      <c r="C806" s="26">
        <v>8</v>
      </c>
      <c r="D806" s="86" t="s">
        <v>847</v>
      </c>
      <c r="E806" s="32">
        <f t="shared" si="22"/>
        <v>0</v>
      </c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  <c r="FJ806" s="25"/>
      <c r="FK806" s="25"/>
      <c r="FL806" s="25"/>
      <c r="FM806" s="25"/>
      <c r="FN806" s="25"/>
      <c r="FO806" s="25"/>
      <c r="FP806" s="25"/>
      <c r="FQ806" s="25"/>
      <c r="FR806" s="25"/>
      <c r="FS806" s="25"/>
      <c r="FT806" s="25"/>
      <c r="FU806" s="25"/>
      <c r="FV806" s="77"/>
      <c r="FW806" s="28"/>
      <c r="FX806" s="28"/>
      <c r="FY806" s="26"/>
      <c r="FZ806" s="26"/>
      <c r="GA806" s="26"/>
      <c r="GB806" s="26"/>
      <c r="GC806" s="26"/>
      <c r="GD806" s="26"/>
      <c r="GE806" s="26"/>
      <c r="GF806" s="26"/>
      <c r="GG806" s="26"/>
      <c r="GH806" s="26"/>
      <c r="GI806" s="26"/>
      <c r="GJ806" s="26"/>
      <c r="GK806" s="26"/>
      <c r="GL806" s="65"/>
      <c r="GM806" s="26"/>
      <c r="GN806" s="26"/>
      <c r="GO806" s="26"/>
      <c r="GP806" s="26"/>
      <c r="GQ806" s="26"/>
      <c r="GR806" s="26"/>
      <c r="GS806" s="64"/>
      <c r="GT806" s="26"/>
      <c r="GU806" s="26"/>
      <c r="GV806" s="26"/>
      <c r="GW806" s="26"/>
      <c r="GX806" s="64"/>
      <c r="GY806" s="26"/>
      <c r="GZ806" s="26"/>
      <c r="HA806" s="26"/>
      <c r="HB806" s="26"/>
      <c r="HC806" s="65"/>
      <c r="HD806" s="26"/>
      <c r="HE806" s="26"/>
      <c r="HF806" s="26">
        <v>8</v>
      </c>
      <c r="HG806" s="26"/>
      <c r="HH806" s="65"/>
      <c r="HI806" s="26"/>
      <c r="HJ806" s="26"/>
      <c r="HK806" s="25"/>
      <c r="HL806" s="25"/>
    </row>
    <row r="807" spans="1:220" ht="15.75" customHeight="1" x14ac:dyDescent="0.2">
      <c r="A807" s="58">
        <v>43689.150868055556</v>
      </c>
      <c r="B807" s="32">
        <v>589730</v>
      </c>
      <c r="C807" s="26">
        <v>2</v>
      </c>
      <c r="D807" s="86" t="s">
        <v>848</v>
      </c>
      <c r="E807" s="32">
        <f t="shared" si="22"/>
        <v>0</v>
      </c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  <c r="FJ807" s="25"/>
      <c r="FK807" s="25"/>
      <c r="FL807" s="25"/>
      <c r="FM807" s="25"/>
      <c r="FN807" s="25"/>
      <c r="FO807" s="25"/>
      <c r="FP807" s="25"/>
      <c r="FQ807" s="25"/>
      <c r="FR807" s="25"/>
      <c r="FS807" s="25"/>
      <c r="FT807" s="25"/>
      <c r="FU807" s="25"/>
      <c r="FV807" s="77"/>
      <c r="FW807" s="28"/>
      <c r="FX807" s="28"/>
      <c r="FY807" s="26"/>
      <c r="FZ807" s="26"/>
      <c r="GA807" s="26"/>
      <c r="GB807" s="26"/>
      <c r="GC807" s="26"/>
      <c r="GD807" s="26"/>
      <c r="GE807" s="26"/>
      <c r="GF807" s="26"/>
      <c r="GG807" s="26"/>
      <c r="GH807" s="26"/>
      <c r="GI807" s="26"/>
      <c r="GJ807" s="26"/>
      <c r="GK807" s="26"/>
      <c r="GL807" s="65"/>
      <c r="GM807" s="26"/>
      <c r="GN807" s="26"/>
      <c r="GO807" s="26"/>
      <c r="GP807" s="26"/>
      <c r="GQ807" s="26"/>
      <c r="GR807" s="26"/>
      <c r="GS807" s="64"/>
      <c r="GT807" s="26"/>
      <c r="GU807" s="26"/>
      <c r="GV807" s="26"/>
      <c r="GW807" s="26"/>
      <c r="GX807" s="64"/>
      <c r="GY807" s="26"/>
      <c r="GZ807" s="26"/>
      <c r="HA807" s="26"/>
      <c r="HB807" s="26"/>
      <c r="HC807" s="65"/>
      <c r="HD807" s="26"/>
      <c r="HE807" s="26"/>
      <c r="HF807" s="26">
        <v>2</v>
      </c>
      <c r="HG807" s="26"/>
      <c r="HH807" s="65"/>
      <c r="HI807" s="26"/>
      <c r="HJ807" s="26"/>
      <c r="HK807" s="25"/>
      <c r="HL807" s="25"/>
    </row>
    <row r="808" spans="1:220" ht="15.75" customHeight="1" x14ac:dyDescent="0.2">
      <c r="A808" s="58">
        <v>43689.163715277777</v>
      </c>
      <c r="B808" s="32">
        <v>589732</v>
      </c>
      <c r="C808" s="26">
        <v>17</v>
      </c>
      <c r="D808" s="86" t="s">
        <v>849</v>
      </c>
      <c r="E808" s="32">
        <f t="shared" si="22"/>
        <v>0</v>
      </c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  <c r="FJ808" s="25"/>
      <c r="FK808" s="25"/>
      <c r="FL808" s="25"/>
      <c r="FM808" s="25"/>
      <c r="FN808" s="25"/>
      <c r="FO808" s="25"/>
      <c r="FP808" s="25"/>
      <c r="FQ808" s="25"/>
      <c r="FR808" s="25"/>
      <c r="FS808" s="25"/>
      <c r="FT808" s="25"/>
      <c r="FU808" s="25"/>
      <c r="FV808" s="77"/>
      <c r="FW808" s="28"/>
      <c r="FX808" s="28"/>
      <c r="FY808" s="26"/>
      <c r="FZ808" s="26"/>
      <c r="GA808" s="26"/>
      <c r="GB808" s="26"/>
      <c r="GC808" s="26"/>
      <c r="GD808" s="26"/>
      <c r="GE808" s="26"/>
      <c r="GF808" s="26"/>
      <c r="GG808" s="26"/>
      <c r="GH808" s="26"/>
      <c r="GI808" s="26"/>
      <c r="GJ808" s="26"/>
      <c r="GK808" s="26"/>
      <c r="GL808" s="65"/>
      <c r="GM808" s="26"/>
      <c r="GN808" s="26"/>
      <c r="GO808" s="26"/>
      <c r="GP808" s="26"/>
      <c r="GQ808" s="26"/>
      <c r="GR808" s="26"/>
      <c r="GS808" s="64"/>
      <c r="GT808" s="26"/>
      <c r="GU808" s="26"/>
      <c r="GV808" s="26"/>
      <c r="GW808" s="26"/>
      <c r="GX808" s="64"/>
      <c r="GY808" s="26"/>
      <c r="GZ808" s="26"/>
      <c r="HA808" s="26"/>
      <c r="HB808" s="26"/>
      <c r="HC808" s="65"/>
      <c r="HD808" s="26"/>
      <c r="HE808" s="26"/>
      <c r="HF808" s="26">
        <v>17</v>
      </c>
      <c r="HG808" s="26"/>
      <c r="HH808" s="65"/>
      <c r="HI808" s="26"/>
      <c r="HJ808" s="26"/>
      <c r="HK808" s="25"/>
      <c r="HL808" s="25"/>
    </row>
    <row r="809" spans="1:220" ht="15.75" customHeight="1" x14ac:dyDescent="0.2">
      <c r="A809" s="58">
        <v>43689.163715277777</v>
      </c>
      <c r="B809" s="32">
        <v>589732</v>
      </c>
      <c r="C809" s="26">
        <v>10</v>
      </c>
      <c r="D809" s="86" t="s">
        <v>850</v>
      </c>
      <c r="E809" s="32">
        <f t="shared" si="22"/>
        <v>0</v>
      </c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  <c r="FJ809" s="25"/>
      <c r="FK809" s="25"/>
      <c r="FL809" s="25"/>
      <c r="FM809" s="25"/>
      <c r="FN809" s="25"/>
      <c r="FO809" s="25"/>
      <c r="FP809" s="25"/>
      <c r="FQ809" s="25"/>
      <c r="FR809" s="25"/>
      <c r="FS809" s="25"/>
      <c r="FT809" s="25"/>
      <c r="FU809" s="25"/>
      <c r="FV809" s="77"/>
      <c r="FW809" s="28"/>
      <c r="FX809" s="28"/>
      <c r="FY809" s="26"/>
      <c r="FZ809" s="26"/>
      <c r="GA809" s="26"/>
      <c r="GB809" s="26"/>
      <c r="GC809" s="26"/>
      <c r="GD809" s="26"/>
      <c r="GE809" s="26"/>
      <c r="GF809" s="26"/>
      <c r="GG809" s="26"/>
      <c r="GH809" s="26"/>
      <c r="GI809" s="26"/>
      <c r="GJ809" s="26"/>
      <c r="GK809" s="26"/>
      <c r="GL809" s="65"/>
      <c r="GM809" s="26"/>
      <c r="GN809" s="26"/>
      <c r="GO809" s="26"/>
      <c r="GP809" s="26"/>
      <c r="GQ809" s="26"/>
      <c r="GR809" s="26"/>
      <c r="GS809" s="64"/>
      <c r="GT809" s="26"/>
      <c r="GU809" s="26"/>
      <c r="GV809" s="26"/>
      <c r="GW809" s="26"/>
      <c r="GX809" s="64"/>
      <c r="GY809" s="26"/>
      <c r="GZ809" s="26"/>
      <c r="HA809" s="26"/>
      <c r="HB809" s="26"/>
      <c r="HC809" s="65"/>
      <c r="HD809" s="26"/>
      <c r="HE809" s="26"/>
      <c r="HF809" s="26">
        <v>10</v>
      </c>
      <c r="HG809" s="26"/>
      <c r="HH809" s="65"/>
      <c r="HI809" s="26"/>
      <c r="HJ809" s="26"/>
      <c r="HK809" s="25"/>
      <c r="HL809" s="25"/>
    </row>
    <row r="810" spans="1:220" ht="15.75" customHeight="1" x14ac:dyDescent="0.2">
      <c r="A810" s="58">
        <v>43689.167731481481</v>
      </c>
      <c r="B810" s="32">
        <v>589733</v>
      </c>
      <c r="C810" s="26">
        <v>10</v>
      </c>
      <c r="D810" s="86" t="s">
        <v>851</v>
      </c>
      <c r="E810" s="32">
        <f t="shared" si="22"/>
        <v>0</v>
      </c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  <c r="FJ810" s="25"/>
      <c r="FK810" s="25"/>
      <c r="FL810" s="25"/>
      <c r="FM810" s="25"/>
      <c r="FN810" s="25"/>
      <c r="FO810" s="25"/>
      <c r="FP810" s="25"/>
      <c r="FQ810" s="25"/>
      <c r="FR810" s="25"/>
      <c r="FS810" s="25"/>
      <c r="FT810" s="25"/>
      <c r="FU810" s="25"/>
      <c r="FV810" s="77"/>
      <c r="FW810" s="28"/>
      <c r="FX810" s="28"/>
      <c r="FY810" s="26"/>
      <c r="FZ810" s="26"/>
      <c r="GA810" s="26"/>
      <c r="GB810" s="26"/>
      <c r="GC810" s="26"/>
      <c r="GD810" s="26"/>
      <c r="GE810" s="26"/>
      <c r="GF810" s="26"/>
      <c r="GG810" s="26"/>
      <c r="GH810" s="26"/>
      <c r="GI810" s="26"/>
      <c r="GJ810" s="26"/>
      <c r="GK810" s="26"/>
      <c r="GL810" s="65"/>
      <c r="GM810" s="26"/>
      <c r="GN810" s="26"/>
      <c r="GO810" s="26"/>
      <c r="GP810" s="26"/>
      <c r="GQ810" s="26"/>
      <c r="GR810" s="26"/>
      <c r="GS810" s="64"/>
      <c r="GT810" s="26"/>
      <c r="GU810" s="26"/>
      <c r="GV810" s="26"/>
      <c r="GW810" s="26"/>
      <c r="GX810" s="64"/>
      <c r="GY810" s="26"/>
      <c r="GZ810" s="26"/>
      <c r="HA810" s="26"/>
      <c r="HB810" s="26"/>
      <c r="HC810" s="65"/>
      <c r="HD810" s="26"/>
      <c r="HE810" s="26"/>
      <c r="HF810" s="26">
        <v>10</v>
      </c>
      <c r="HG810" s="26"/>
      <c r="HH810" s="65"/>
      <c r="HI810" s="26"/>
      <c r="HJ810" s="26"/>
      <c r="HK810" s="25"/>
      <c r="HL810" s="25"/>
    </row>
    <row r="811" spans="1:220" ht="15.75" customHeight="1" x14ac:dyDescent="0.2">
      <c r="A811" s="58">
        <v>43689.184004629627</v>
      </c>
      <c r="B811" s="32">
        <v>579737</v>
      </c>
      <c r="C811" s="26">
        <v>20.350000000000001</v>
      </c>
      <c r="D811" s="86" t="s">
        <v>852</v>
      </c>
      <c r="E811" s="32">
        <f t="shared" si="22"/>
        <v>0</v>
      </c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  <c r="FJ811" s="25"/>
      <c r="FK811" s="25"/>
      <c r="FL811" s="25"/>
      <c r="FM811" s="25"/>
      <c r="FN811" s="25"/>
      <c r="FO811" s="25"/>
      <c r="FP811" s="25"/>
      <c r="FQ811" s="25"/>
      <c r="FR811" s="25"/>
      <c r="FS811" s="25"/>
      <c r="FT811" s="25"/>
      <c r="FU811" s="25"/>
      <c r="FV811" s="77"/>
      <c r="FW811" s="28"/>
      <c r="FX811" s="28"/>
      <c r="FY811" s="26"/>
      <c r="FZ811" s="26"/>
      <c r="GA811" s="26"/>
      <c r="GB811" s="26"/>
      <c r="GC811" s="26"/>
      <c r="GD811" s="26"/>
      <c r="GE811" s="26"/>
      <c r="GF811" s="26"/>
      <c r="GG811" s="26"/>
      <c r="GH811" s="26"/>
      <c r="GI811" s="26"/>
      <c r="GJ811" s="26"/>
      <c r="GK811" s="26"/>
      <c r="GL811" s="65"/>
      <c r="GM811" s="26"/>
      <c r="GN811" s="26"/>
      <c r="GO811" s="26"/>
      <c r="GP811" s="26"/>
      <c r="GQ811" s="26"/>
      <c r="GR811" s="26"/>
      <c r="GS811" s="64"/>
      <c r="GT811" s="26"/>
      <c r="GU811" s="26"/>
      <c r="GV811" s="26"/>
      <c r="GW811" s="26"/>
      <c r="GX811" s="64"/>
      <c r="GY811" s="26"/>
      <c r="GZ811" s="26"/>
      <c r="HA811" s="26"/>
      <c r="HB811" s="26"/>
      <c r="HC811" s="65"/>
      <c r="HD811" s="26"/>
      <c r="HE811" s="26"/>
      <c r="HF811" s="26">
        <v>20.350000000000001</v>
      </c>
      <c r="HG811" s="26"/>
      <c r="HH811" s="65"/>
      <c r="HI811" s="26"/>
      <c r="HJ811" s="26"/>
      <c r="HK811" s="25"/>
      <c r="HL811" s="25"/>
    </row>
    <row r="812" spans="1:220" ht="15.75" customHeight="1" x14ac:dyDescent="0.2">
      <c r="A812" s="58">
        <v>43689.184004629627</v>
      </c>
      <c r="B812" s="32">
        <v>579737</v>
      </c>
      <c r="C812" s="26">
        <v>20.21</v>
      </c>
      <c r="D812" s="86" t="s">
        <v>853</v>
      </c>
      <c r="E812" s="32">
        <f t="shared" si="22"/>
        <v>0</v>
      </c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  <c r="FJ812" s="25"/>
      <c r="FK812" s="25"/>
      <c r="FL812" s="25"/>
      <c r="FM812" s="25"/>
      <c r="FN812" s="25"/>
      <c r="FO812" s="25"/>
      <c r="FP812" s="25"/>
      <c r="FQ812" s="25"/>
      <c r="FR812" s="25"/>
      <c r="FS812" s="25"/>
      <c r="FT812" s="25"/>
      <c r="FU812" s="25"/>
      <c r="FV812" s="77"/>
      <c r="FW812" s="28"/>
      <c r="FX812" s="28"/>
      <c r="FY812" s="26"/>
      <c r="FZ812" s="26"/>
      <c r="GA812" s="26"/>
      <c r="GB812" s="26"/>
      <c r="GC812" s="26"/>
      <c r="GD812" s="26"/>
      <c r="GE812" s="26"/>
      <c r="GF812" s="26"/>
      <c r="GG812" s="26"/>
      <c r="GH812" s="26"/>
      <c r="GI812" s="26"/>
      <c r="GJ812" s="26"/>
      <c r="GK812" s="26"/>
      <c r="GL812" s="65"/>
      <c r="GM812" s="26"/>
      <c r="GN812" s="26"/>
      <c r="GO812" s="26"/>
      <c r="GP812" s="26"/>
      <c r="GQ812" s="26"/>
      <c r="GR812" s="26"/>
      <c r="GS812" s="64"/>
      <c r="GT812" s="26"/>
      <c r="GU812" s="26"/>
      <c r="GV812" s="26"/>
      <c r="GW812" s="26"/>
      <c r="GX812" s="64"/>
      <c r="GY812" s="26"/>
      <c r="GZ812" s="26"/>
      <c r="HA812" s="26"/>
      <c r="HB812" s="26"/>
      <c r="HC812" s="65"/>
      <c r="HD812" s="26"/>
      <c r="HE812" s="26"/>
      <c r="HF812" s="26">
        <v>20.21</v>
      </c>
      <c r="HG812" s="26"/>
      <c r="HH812" s="65"/>
      <c r="HI812" s="26"/>
      <c r="HJ812" s="26"/>
      <c r="HK812" s="25"/>
      <c r="HL812" s="25"/>
    </row>
    <row r="813" spans="1:220" ht="15.75" customHeight="1" x14ac:dyDescent="0.2">
      <c r="A813" s="58">
        <v>43689.213090277779</v>
      </c>
      <c r="B813" s="32">
        <v>589740</v>
      </c>
      <c r="C813" s="26">
        <v>10</v>
      </c>
      <c r="D813" s="86" t="s">
        <v>854</v>
      </c>
      <c r="E813" s="32">
        <f t="shared" si="22"/>
        <v>0</v>
      </c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  <c r="FJ813" s="25"/>
      <c r="FK813" s="25"/>
      <c r="FL813" s="25"/>
      <c r="FM813" s="25"/>
      <c r="FN813" s="25"/>
      <c r="FO813" s="25"/>
      <c r="FP813" s="25"/>
      <c r="FQ813" s="25"/>
      <c r="FR813" s="25"/>
      <c r="FS813" s="25"/>
      <c r="FT813" s="25"/>
      <c r="FU813" s="25"/>
      <c r="FV813" s="77"/>
      <c r="FW813" s="28"/>
      <c r="FX813" s="28"/>
      <c r="FY813" s="26"/>
      <c r="FZ813" s="26"/>
      <c r="GA813" s="26"/>
      <c r="GB813" s="26"/>
      <c r="GC813" s="26"/>
      <c r="GD813" s="26"/>
      <c r="GE813" s="26"/>
      <c r="GF813" s="26"/>
      <c r="GG813" s="26"/>
      <c r="GH813" s="26"/>
      <c r="GI813" s="26"/>
      <c r="GJ813" s="26"/>
      <c r="GK813" s="26"/>
      <c r="GL813" s="65"/>
      <c r="GM813" s="26"/>
      <c r="GN813" s="26"/>
      <c r="GO813" s="26"/>
      <c r="GP813" s="26"/>
      <c r="GQ813" s="26"/>
      <c r="GR813" s="26"/>
      <c r="GS813" s="64"/>
      <c r="GT813" s="26"/>
      <c r="GU813" s="26"/>
      <c r="GV813" s="26"/>
      <c r="GW813" s="26"/>
      <c r="GX813" s="64"/>
      <c r="GY813" s="26"/>
      <c r="GZ813" s="26"/>
      <c r="HA813" s="26"/>
      <c r="HB813" s="26"/>
      <c r="HC813" s="65"/>
      <c r="HD813" s="26"/>
      <c r="HE813" s="26"/>
      <c r="HF813" s="26">
        <v>10</v>
      </c>
      <c r="HG813" s="26"/>
      <c r="HH813" s="65"/>
      <c r="HI813" s="26"/>
      <c r="HJ813" s="26"/>
      <c r="HK813" s="25"/>
      <c r="HL813" s="25"/>
    </row>
    <row r="814" spans="1:220" ht="15.75" customHeight="1" x14ac:dyDescent="0.2">
      <c r="A814" s="58">
        <v>43687.340960648151</v>
      </c>
      <c r="B814" s="32">
        <v>589439</v>
      </c>
      <c r="C814" s="26">
        <v>50</v>
      </c>
      <c r="D814" s="86" t="s">
        <v>855</v>
      </c>
      <c r="E814" s="32">
        <f t="shared" si="22"/>
        <v>0</v>
      </c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  <c r="FJ814" s="25"/>
      <c r="FK814" s="25"/>
      <c r="FL814" s="25"/>
      <c r="FM814" s="25"/>
      <c r="FN814" s="25"/>
      <c r="FO814" s="25"/>
      <c r="FP814" s="25"/>
      <c r="FQ814" s="25"/>
      <c r="FR814" s="25"/>
      <c r="FS814" s="25"/>
      <c r="FT814" s="25"/>
      <c r="FU814" s="25"/>
      <c r="FV814" s="77"/>
      <c r="FW814" s="28"/>
      <c r="FX814" s="28"/>
      <c r="FY814" s="26"/>
      <c r="FZ814" s="26"/>
      <c r="GA814" s="26"/>
      <c r="GB814" s="26"/>
      <c r="GC814" s="26"/>
      <c r="GD814" s="26"/>
      <c r="GE814" s="26"/>
      <c r="GF814" s="26"/>
      <c r="GG814" s="26"/>
      <c r="GH814" s="26"/>
      <c r="GI814" s="26"/>
      <c r="GJ814" s="26"/>
      <c r="GK814" s="26"/>
      <c r="GL814" s="65"/>
      <c r="GM814" s="26"/>
      <c r="GN814" s="26"/>
      <c r="GO814" s="26"/>
      <c r="GP814" s="26"/>
      <c r="GQ814" s="26"/>
      <c r="GR814" s="26"/>
      <c r="GS814" s="64"/>
      <c r="GT814" s="26"/>
      <c r="GU814" s="26"/>
      <c r="GV814" s="26"/>
      <c r="GW814" s="26"/>
      <c r="GX814" s="64"/>
      <c r="GY814" s="26"/>
      <c r="GZ814" s="26"/>
      <c r="HA814" s="26"/>
      <c r="HB814" s="26"/>
      <c r="HC814" s="65"/>
      <c r="HD814" s="26"/>
      <c r="HE814" s="26"/>
      <c r="HF814" s="26"/>
      <c r="HG814" s="26"/>
      <c r="HH814" s="65">
        <v>50</v>
      </c>
      <c r="HI814" s="26"/>
      <c r="HJ814" s="26"/>
      <c r="HK814" s="25"/>
      <c r="HL814" s="25"/>
    </row>
    <row r="815" spans="1:220" ht="15.75" customHeight="1" x14ac:dyDescent="0.2">
      <c r="A815" s="58">
        <v>43689.213090277779</v>
      </c>
      <c r="B815" s="32">
        <v>589740</v>
      </c>
      <c r="C815" s="26">
        <v>10</v>
      </c>
      <c r="D815" s="86" t="s">
        <v>856</v>
      </c>
      <c r="E815" s="32">
        <f t="shared" si="22"/>
        <v>0</v>
      </c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  <c r="FJ815" s="25"/>
      <c r="FK815" s="25"/>
      <c r="FL815" s="25"/>
      <c r="FM815" s="25"/>
      <c r="FN815" s="25"/>
      <c r="FO815" s="25"/>
      <c r="FP815" s="25"/>
      <c r="FQ815" s="25"/>
      <c r="FR815" s="25"/>
      <c r="FS815" s="25"/>
      <c r="FT815" s="25"/>
      <c r="FU815" s="25"/>
      <c r="FV815" s="77"/>
      <c r="FW815" s="28"/>
      <c r="FX815" s="28"/>
      <c r="FY815" s="26"/>
      <c r="FZ815" s="26"/>
      <c r="GA815" s="26"/>
      <c r="GB815" s="26"/>
      <c r="GC815" s="26"/>
      <c r="GD815" s="26"/>
      <c r="GE815" s="26"/>
      <c r="GF815" s="26"/>
      <c r="GG815" s="26"/>
      <c r="GH815" s="26"/>
      <c r="GI815" s="26"/>
      <c r="GJ815" s="26"/>
      <c r="GK815" s="26"/>
      <c r="GL815" s="65"/>
      <c r="GM815" s="26"/>
      <c r="GN815" s="26"/>
      <c r="GO815" s="26"/>
      <c r="GP815" s="26"/>
      <c r="GQ815" s="26"/>
      <c r="GR815" s="26"/>
      <c r="GS815" s="64"/>
      <c r="GT815" s="26"/>
      <c r="GU815" s="26"/>
      <c r="GV815" s="26"/>
      <c r="GW815" s="26"/>
      <c r="GX815" s="64"/>
      <c r="GY815" s="26"/>
      <c r="GZ815" s="26"/>
      <c r="HA815" s="26"/>
      <c r="HB815" s="26"/>
      <c r="HC815" s="65"/>
      <c r="HD815" s="26"/>
      <c r="HE815" s="26"/>
      <c r="HF815" s="26">
        <v>10</v>
      </c>
      <c r="HG815" s="26"/>
      <c r="HH815" s="65"/>
      <c r="HI815" s="26"/>
      <c r="HJ815" s="26"/>
      <c r="HK815" s="25"/>
      <c r="HL815" s="25"/>
    </row>
    <row r="816" spans="1:220" ht="15.75" customHeight="1" x14ac:dyDescent="0.2">
      <c r="A816" s="58">
        <v>43689.213090277779</v>
      </c>
      <c r="B816" s="32">
        <v>589740</v>
      </c>
      <c r="C816" s="26">
        <v>20.9</v>
      </c>
      <c r="D816" s="86" t="s">
        <v>857</v>
      </c>
      <c r="E816" s="32">
        <f t="shared" si="22"/>
        <v>0</v>
      </c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  <c r="FJ816" s="25"/>
      <c r="FK816" s="25"/>
      <c r="FL816" s="25"/>
      <c r="FM816" s="25"/>
      <c r="FN816" s="25"/>
      <c r="FO816" s="25"/>
      <c r="FP816" s="25"/>
      <c r="FQ816" s="25"/>
      <c r="FR816" s="25"/>
      <c r="FS816" s="25"/>
      <c r="FT816" s="25"/>
      <c r="FU816" s="25"/>
      <c r="FV816" s="77"/>
      <c r="FW816" s="28"/>
      <c r="FX816" s="28"/>
      <c r="FY816" s="26"/>
      <c r="FZ816" s="26"/>
      <c r="GA816" s="26"/>
      <c r="GB816" s="26"/>
      <c r="GC816" s="26"/>
      <c r="GD816" s="26"/>
      <c r="GE816" s="26"/>
      <c r="GF816" s="26"/>
      <c r="GG816" s="26"/>
      <c r="GH816" s="26"/>
      <c r="GI816" s="26"/>
      <c r="GJ816" s="26"/>
      <c r="GK816" s="26"/>
      <c r="GL816" s="65"/>
      <c r="GM816" s="26"/>
      <c r="GN816" s="26"/>
      <c r="GO816" s="26"/>
      <c r="GP816" s="26"/>
      <c r="GQ816" s="26"/>
      <c r="GR816" s="26"/>
      <c r="GS816" s="64"/>
      <c r="GT816" s="26"/>
      <c r="GU816" s="26"/>
      <c r="GV816" s="26"/>
      <c r="GW816" s="26"/>
      <c r="GX816" s="64"/>
      <c r="GY816" s="26"/>
      <c r="GZ816" s="26"/>
      <c r="HA816" s="26"/>
      <c r="HB816" s="26"/>
      <c r="HC816" s="65"/>
      <c r="HD816" s="26"/>
      <c r="HE816" s="26"/>
      <c r="HF816" s="26">
        <v>20.9</v>
      </c>
      <c r="HG816" s="26"/>
      <c r="HH816" s="65"/>
      <c r="HI816" s="26"/>
      <c r="HJ816" s="26"/>
      <c r="HK816" s="25"/>
      <c r="HL816" s="25"/>
    </row>
    <row r="817" spans="1:220" ht="15.75" customHeight="1" x14ac:dyDescent="0.2">
      <c r="A817" s="58">
        <v>43689.213090277779</v>
      </c>
      <c r="B817" s="32">
        <v>589740</v>
      </c>
      <c r="C817" s="26">
        <v>10</v>
      </c>
      <c r="D817" s="86" t="s">
        <v>858</v>
      </c>
      <c r="E817" s="32">
        <f t="shared" si="22"/>
        <v>0</v>
      </c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  <c r="FJ817" s="25"/>
      <c r="FK817" s="25"/>
      <c r="FL817" s="25"/>
      <c r="FM817" s="25"/>
      <c r="FN817" s="25"/>
      <c r="FO817" s="25"/>
      <c r="FP817" s="25"/>
      <c r="FQ817" s="25"/>
      <c r="FR817" s="25"/>
      <c r="FS817" s="25"/>
      <c r="FT817" s="25"/>
      <c r="FU817" s="25"/>
      <c r="FV817" s="77"/>
      <c r="FW817" s="28"/>
      <c r="FX817" s="28"/>
      <c r="FY817" s="26"/>
      <c r="FZ817" s="26"/>
      <c r="GA817" s="26"/>
      <c r="GB817" s="26"/>
      <c r="GC817" s="26"/>
      <c r="GD817" s="26"/>
      <c r="GE817" s="26"/>
      <c r="GF817" s="26"/>
      <c r="GG817" s="26"/>
      <c r="GH817" s="26"/>
      <c r="GI817" s="26"/>
      <c r="GJ817" s="26"/>
      <c r="GK817" s="26"/>
      <c r="GL817" s="65"/>
      <c r="GM817" s="26"/>
      <c r="GN817" s="26"/>
      <c r="GO817" s="26"/>
      <c r="GP817" s="26"/>
      <c r="GQ817" s="26"/>
      <c r="GR817" s="26"/>
      <c r="GS817" s="64"/>
      <c r="GT817" s="26"/>
      <c r="GU817" s="26"/>
      <c r="GV817" s="26"/>
      <c r="GW817" s="26"/>
      <c r="GX817" s="64"/>
      <c r="GY817" s="26"/>
      <c r="GZ817" s="26"/>
      <c r="HA817" s="26"/>
      <c r="HB817" s="26"/>
      <c r="HC817" s="65"/>
      <c r="HD817" s="26"/>
      <c r="HE817" s="26"/>
      <c r="HF817" s="26">
        <v>10</v>
      </c>
      <c r="HG817" s="26"/>
      <c r="HH817" s="65"/>
      <c r="HI817" s="26"/>
      <c r="HJ817" s="26"/>
      <c r="HK817" s="25"/>
      <c r="HL817" s="25"/>
    </row>
    <row r="818" spans="1:220" ht="15.75" customHeight="1" x14ac:dyDescent="0.2">
      <c r="A818" s="58">
        <v>43686.939120370371</v>
      </c>
      <c r="B818" s="32">
        <v>589389</v>
      </c>
      <c r="C818" s="26">
        <v>20.2</v>
      </c>
      <c r="D818" s="86" t="s">
        <v>859</v>
      </c>
      <c r="E818" s="32">
        <f t="shared" si="22"/>
        <v>0</v>
      </c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  <c r="FJ818" s="25"/>
      <c r="FK818" s="25"/>
      <c r="FL818" s="25"/>
      <c r="FM818" s="25"/>
      <c r="FN818" s="25"/>
      <c r="FO818" s="25"/>
      <c r="FP818" s="25"/>
      <c r="FQ818" s="25"/>
      <c r="FR818" s="25"/>
      <c r="FS818" s="25"/>
      <c r="FT818" s="25"/>
      <c r="FU818" s="25"/>
      <c r="FV818" s="77"/>
      <c r="FW818" s="28"/>
      <c r="FX818" s="28"/>
      <c r="FY818" s="26"/>
      <c r="FZ818" s="26"/>
      <c r="GA818" s="26"/>
      <c r="GB818" s="26"/>
      <c r="GC818" s="26"/>
      <c r="GD818" s="26"/>
      <c r="GE818" s="26"/>
      <c r="GF818" s="26"/>
      <c r="GG818" s="26"/>
      <c r="GH818" s="26"/>
      <c r="GI818" s="26"/>
      <c r="GJ818" s="26"/>
      <c r="GK818" s="26"/>
      <c r="GL818" s="65"/>
      <c r="GM818" s="26"/>
      <c r="GN818" s="26"/>
      <c r="GO818" s="26"/>
      <c r="GP818" s="26"/>
      <c r="GQ818" s="26"/>
      <c r="GR818" s="26"/>
      <c r="GS818" s="64"/>
      <c r="GT818" s="26"/>
      <c r="GU818" s="26"/>
      <c r="GV818" s="26"/>
      <c r="GW818" s="26"/>
      <c r="GX818" s="64"/>
      <c r="GY818" s="26"/>
      <c r="GZ818" s="26"/>
      <c r="HA818" s="26"/>
      <c r="HB818" s="26"/>
      <c r="HC818" s="65"/>
      <c r="HD818" s="26"/>
      <c r="HE818" s="26"/>
      <c r="HF818" s="26">
        <v>10.199999999999999</v>
      </c>
      <c r="HG818" s="26"/>
      <c r="HH818" s="65"/>
      <c r="HI818" s="26">
        <v>10</v>
      </c>
      <c r="HJ818" s="26"/>
      <c r="HK818" s="25"/>
      <c r="HL818" s="25"/>
    </row>
    <row r="819" spans="1:220" ht="15.75" customHeight="1" x14ac:dyDescent="0.2">
      <c r="A819" s="58">
        <v>43689.110462962963</v>
      </c>
      <c r="B819" s="32">
        <v>589723</v>
      </c>
      <c r="C819" s="26">
        <v>42.66</v>
      </c>
      <c r="D819" s="86" t="s">
        <v>860</v>
      </c>
      <c r="E819" s="32">
        <f t="shared" si="22"/>
        <v>0</v>
      </c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  <c r="FJ819" s="25"/>
      <c r="FK819" s="25"/>
      <c r="FL819" s="25"/>
      <c r="FM819" s="25"/>
      <c r="FN819" s="25"/>
      <c r="FO819" s="25"/>
      <c r="FP819" s="25"/>
      <c r="FQ819" s="25"/>
      <c r="FR819" s="25"/>
      <c r="FS819" s="25"/>
      <c r="FT819" s="25"/>
      <c r="FU819" s="25"/>
      <c r="FV819" s="77"/>
      <c r="FW819" s="28"/>
      <c r="FX819" s="28"/>
      <c r="FY819" s="26"/>
      <c r="FZ819" s="26"/>
      <c r="GA819" s="26"/>
      <c r="GB819" s="26"/>
      <c r="GC819" s="26"/>
      <c r="GD819" s="26"/>
      <c r="GE819" s="26"/>
      <c r="GF819" s="26"/>
      <c r="GG819" s="26"/>
      <c r="GH819" s="26"/>
      <c r="GI819" s="26"/>
      <c r="GJ819" s="26"/>
      <c r="GK819" s="26"/>
      <c r="GL819" s="65"/>
      <c r="GM819" s="26"/>
      <c r="GN819" s="26"/>
      <c r="GO819" s="26"/>
      <c r="GP819" s="26"/>
      <c r="GQ819" s="26"/>
      <c r="GR819" s="26"/>
      <c r="GS819" s="64"/>
      <c r="GT819" s="26"/>
      <c r="GU819" s="26"/>
      <c r="GV819" s="26"/>
      <c r="GW819" s="26"/>
      <c r="GX819" s="64"/>
      <c r="GY819" s="26"/>
      <c r="GZ819" s="26"/>
      <c r="HA819" s="26"/>
      <c r="HB819" s="26"/>
      <c r="HC819" s="65"/>
      <c r="HD819" s="26"/>
      <c r="HE819" s="26"/>
      <c r="HF819" s="26">
        <v>42.66</v>
      </c>
      <c r="HG819" s="26"/>
      <c r="HH819" s="65"/>
      <c r="HI819" s="26"/>
      <c r="HJ819" s="26"/>
      <c r="HK819" s="25"/>
      <c r="HL819" s="25"/>
    </row>
    <row r="820" spans="1:220" ht="15.75" customHeight="1" x14ac:dyDescent="0.2">
      <c r="A820" s="58">
        <v>43686.967534722222</v>
      </c>
      <c r="B820" s="32">
        <v>589394</v>
      </c>
      <c r="C820" s="26">
        <v>47.689</v>
      </c>
      <c r="D820" s="86" t="s">
        <v>861</v>
      </c>
      <c r="E820" s="32">
        <f t="shared" si="22"/>
        <v>0</v>
      </c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  <c r="FJ820" s="25"/>
      <c r="FK820" s="25"/>
      <c r="FL820" s="25"/>
      <c r="FM820" s="25"/>
      <c r="FN820" s="25"/>
      <c r="FO820" s="25"/>
      <c r="FP820" s="25"/>
      <c r="FQ820" s="25"/>
      <c r="FR820" s="25"/>
      <c r="FS820" s="25"/>
      <c r="FT820" s="25"/>
      <c r="FU820" s="25"/>
      <c r="FV820" s="77"/>
      <c r="FW820" s="28"/>
      <c r="FX820" s="28"/>
      <c r="FY820" s="26"/>
      <c r="FZ820" s="26"/>
      <c r="GA820" s="26"/>
      <c r="GB820" s="26"/>
      <c r="GC820" s="26"/>
      <c r="GD820" s="26"/>
      <c r="GE820" s="26"/>
      <c r="GF820" s="26"/>
      <c r="GG820" s="26"/>
      <c r="GH820" s="26"/>
      <c r="GI820" s="26"/>
      <c r="GJ820" s="26"/>
      <c r="GK820" s="26"/>
      <c r="GL820" s="65"/>
      <c r="GM820" s="26"/>
      <c r="GN820" s="26"/>
      <c r="GO820" s="26"/>
      <c r="GP820" s="26"/>
      <c r="GQ820" s="26"/>
      <c r="GR820" s="26"/>
      <c r="GS820" s="64"/>
      <c r="GT820" s="26"/>
      <c r="GU820" s="26"/>
      <c r="GV820" s="26"/>
      <c r="GW820" s="26"/>
      <c r="GX820" s="64"/>
      <c r="GY820" s="26"/>
      <c r="GZ820" s="26"/>
      <c r="HA820" s="26"/>
      <c r="HB820" s="26"/>
      <c r="HC820" s="65"/>
      <c r="HD820" s="26"/>
      <c r="HE820" s="26"/>
      <c r="HF820" s="26">
        <v>47.689</v>
      </c>
      <c r="HG820" s="26"/>
      <c r="HH820" s="65"/>
      <c r="HI820" s="26"/>
      <c r="HJ820" s="26"/>
      <c r="HK820" s="25"/>
      <c r="HL820" s="25"/>
    </row>
    <row r="821" spans="1:220" ht="15.75" customHeight="1" x14ac:dyDescent="0.2">
      <c r="A821" s="58">
        <v>43686.983101851853</v>
      </c>
      <c r="B821" s="32">
        <v>589400</v>
      </c>
      <c r="C821" s="26">
        <v>47.57</v>
      </c>
      <c r="D821" s="86" t="s">
        <v>862</v>
      </c>
      <c r="E821" s="32">
        <f t="shared" si="22"/>
        <v>0</v>
      </c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  <c r="FJ821" s="25"/>
      <c r="FK821" s="25"/>
      <c r="FL821" s="25"/>
      <c r="FM821" s="25"/>
      <c r="FN821" s="25"/>
      <c r="FO821" s="25"/>
      <c r="FP821" s="25"/>
      <c r="FQ821" s="25"/>
      <c r="FR821" s="25"/>
      <c r="FS821" s="25"/>
      <c r="FT821" s="25"/>
      <c r="FU821" s="25"/>
      <c r="FV821" s="77"/>
      <c r="FW821" s="28"/>
      <c r="FX821" s="28"/>
      <c r="FY821" s="26"/>
      <c r="FZ821" s="26"/>
      <c r="GA821" s="26"/>
      <c r="GB821" s="26"/>
      <c r="GC821" s="26"/>
      <c r="GD821" s="26"/>
      <c r="GE821" s="26"/>
      <c r="GF821" s="26"/>
      <c r="GG821" s="26"/>
      <c r="GH821" s="26"/>
      <c r="GI821" s="26"/>
      <c r="GJ821" s="26"/>
      <c r="GK821" s="26"/>
      <c r="GL821" s="65"/>
      <c r="GM821" s="26"/>
      <c r="GN821" s="26"/>
      <c r="GO821" s="26"/>
      <c r="GP821" s="26"/>
      <c r="GQ821" s="26"/>
      <c r="GR821" s="26"/>
      <c r="GS821" s="64"/>
      <c r="GT821" s="26"/>
      <c r="GU821" s="26"/>
      <c r="GV821" s="26"/>
      <c r="GW821" s="26"/>
      <c r="GX821" s="64"/>
      <c r="GY821" s="26"/>
      <c r="GZ821" s="26"/>
      <c r="HA821" s="26"/>
      <c r="HB821" s="26"/>
      <c r="HC821" s="65"/>
      <c r="HD821" s="26"/>
      <c r="HE821" s="26"/>
      <c r="HF821" s="26">
        <v>47.57</v>
      </c>
      <c r="HG821" s="26"/>
      <c r="HH821" s="65"/>
      <c r="HI821" s="26"/>
      <c r="HJ821" s="26"/>
      <c r="HK821" s="25"/>
      <c r="HL821" s="25"/>
    </row>
    <row r="822" spans="1:220" ht="15.75" customHeight="1" x14ac:dyDescent="0.2">
      <c r="A822" s="58">
        <v>43686.975532407407</v>
      </c>
      <c r="B822" s="32">
        <v>589396</v>
      </c>
      <c r="C822" s="26">
        <v>48.134999999999998</v>
      </c>
      <c r="D822" s="86" t="s">
        <v>863</v>
      </c>
      <c r="E822" s="32">
        <f t="shared" si="22"/>
        <v>0</v>
      </c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  <c r="FJ822" s="25"/>
      <c r="FK822" s="25"/>
      <c r="FL822" s="25"/>
      <c r="FM822" s="25"/>
      <c r="FN822" s="25"/>
      <c r="FO822" s="25"/>
      <c r="FP822" s="25"/>
      <c r="FQ822" s="25"/>
      <c r="FR822" s="25"/>
      <c r="FS822" s="25"/>
      <c r="FT822" s="25"/>
      <c r="FU822" s="25"/>
      <c r="FV822" s="77"/>
      <c r="FW822" s="28"/>
      <c r="FX822" s="28"/>
      <c r="FY822" s="26"/>
      <c r="FZ822" s="26"/>
      <c r="GA822" s="26"/>
      <c r="GB822" s="26"/>
      <c r="GC822" s="26"/>
      <c r="GD822" s="26"/>
      <c r="GE822" s="26"/>
      <c r="GF822" s="26"/>
      <c r="GG822" s="26"/>
      <c r="GH822" s="26"/>
      <c r="GI822" s="26"/>
      <c r="GJ822" s="26"/>
      <c r="GK822" s="26"/>
      <c r="GL822" s="65"/>
      <c r="GM822" s="26"/>
      <c r="GN822" s="26"/>
      <c r="GO822" s="26"/>
      <c r="GP822" s="26"/>
      <c r="GQ822" s="26"/>
      <c r="GR822" s="26"/>
      <c r="GS822" s="64"/>
      <c r="GT822" s="26"/>
      <c r="GU822" s="26"/>
      <c r="GV822" s="26"/>
      <c r="GW822" s="26"/>
      <c r="GX822" s="64"/>
      <c r="GY822" s="26"/>
      <c r="GZ822" s="26"/>
      <c r="HA822" s="26"/>
      <c r="HB822" s="26"/>
      <c r="HC822" s="65"/>
      <c r="HD822" s="26"/>
      <c r="HE822" s="26"/>
      <c r="HF822" s="26">
        <v>48.134999999999998</v>
      </c>
      <c r="HG822" s="26"/>
      <c r="HH822" s="65"/>
      <c r="HI822" s="26"/>
      <c r="HJ822" s="26"/>
      <c r="HK822" s="25"/>
      <c r="HL822" s="25"/>
    </row>
    <row r="823" spans="1:220" ht="15.75" customHeight="1" x14ac:dyDescent="0.2">
      <c r="A823" s="58">
        <v>43689.833657407406</v>
      </c>
      <c r="B823" s="32">
        <v>589827</v>
      </c>
      <c r="C823" s="26">
        <v>70.25</v>
      </c>
      <c r="D823" s="86" t="s">
        <v>760</v>
      </c>
      <c r="E823" s="32">
        <f t="shared" si="22"/>
        <v>0</v>
      </c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  <c r="FJ823" s="25"/>
      <c r="FK823" s="25"/>
      <c r="FL823" s="25"/>
      <c r="FM823" s="25"/>
      <c r="FN823" s="25"/>
      <c r="FO823" s="25"/>
      <c r="FP823" s="25"/>
      <c r="FQ823" s="25"/>
      <c r="FR823" s="25"/>
      <c r="FS823" s="25"/>
      <c r="FT823" s="25"/>
      <c r="FU823" s="25"/>
      <c r="FV823" s="77"/>
      <c r="FW823" s="28"/>
      <c r="FX823" s="28"/>
      <c r="FY823" s="26"/>
      <c r="FZ823" s="26"/>
      <c r="GA823" s="26"/>
      <c r="GB823" s="26"/>
      <c r="GC823" s="26"/>
      <c r="GD823" s="26"/>
      <c r="GE823" s="26"/>
      <c r="GF823" s="26"/>
      <c r="GG823" s="26"/>
      <c r="GH823" s="26"/>
      <c r="GI823" s="26"/>
      <c r="GJ823" s="26"/>
      <c r="GK823" s="26"/>
      <c r="GL823" s="65"/>
      <c r="GM823" s="26"/>
      <c r="GN823" s="26"/>
      <c r="GO823" s="26"/>
      <c r="GP823" s="26"/>
      <c r="GQ823" s="26"/>
      <c r="GR823" s="26"/>
      <c r="GS823" s="64"/>
      <c r="GT823" s="26"/>
      <c r="GU823" s="26"/>
      <c r="GV823" s="26"/>
      <c r="GW823" s="26"/>
      <c r="GX823" s="64"/>
      <c r="GY823" s="26"/>
      <c r="GZ823" s="26"/>
      <c r="HA823" s="26"/>
      <c r="HB823" s="26"/>
      <c r="HC823" s="65"/>
      <c r="HD823" s="26"/>
      <c r="HE823" s="26">
        <v>70.25</v>
      </c>
      <c r="HF823" s="26"/>
      <c r="HG823" s="26"/>
      <c r="HH823" s="65"/>
      <c r="HI823" s="26"/>
      <c r="HJ823" s="26"/>
      <c r="HK823" s="25"/>
      <c r="HL823" s="25"/>
    </row>
    <row r="824" spans="1:220" ht="15.75" customHeight="1" x14ac:dyDescent="0.2">
      <c r="A824" s="58">
        <v>43690.123425925929</v>
      </c>
      <c r="B824" s="32">
        <v>589859</v>
      </c>
      <c r="C824" s="26">
        <v>75.72</v>
      </c>
      <c r="D824" s="86" t="s">
        <v>864</v>
      </c>
      <c r="E824" s="32">
        <f t="shared" si="22"/>
        <v>0</v>
      </c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  <c r="FJ824" s="25"/>
      <c r="FK824" s="25"/>
      <c r="FL824" s="25"/>
      <c r="FM824" s="25"/>
      <c r="FN824" s="25"/>
      <c r="FO824" s="25"/>
      <c r="FP824" s="25"/>
      <c r="FQ824" s="25"/>
      <c r="FR824" s="25"/>
      <c r="FS824" s="25"/>
      <c r="FT824" s="25"/>
      <c r="FU824" s="25"/>
      <c r="FV824" s="77"/>
      <c r="FW824" s="28"/>
      <c r="FX824" s="28"/>
      <c r="FY824" s="26"/>
      <c r="FZ824" s="26"/>
      <c r="GA824" s="26"/>
      <c r="GB824" s="26"/>
      <c r="GC824" s="26"/>
      <c r="GD824" s="26"/>
      <c r="GE824" s="26"/>
      <c r="GF824" s="26"/>
      <c r="GG824" s="26"/>
      <c r="GH824" s="26"/>
      <c r="GI824" s="26"/>
      <c r="GJ824" s="26"/>
      <c r="GK824" s="26"/>
      <c r="GL824" s="65"/>
      <c r="GM824" s="26"/>
      <c r="GN824" s="26"/>
      <c r="GO824" s="26"/>
      <c r="GP824" s="26"/>
      <c r="GQ824" s="26"/>
      <c r="GR824" s="26"/>
      <c r="GS824" s="64"/>
      <c r="GT824" s="26"/>
      <c r="GU824" s="26"/>
      <c r="GV824" s="26"/>
      <c r="GW824" s="26"/>
      <c r="GX824" s="64"/>
      <c r="GY824" s="26"/>
      <c r="GZ824" s="26"/>
      <c r="HA824" s="26"/>
      <c r="HB824" s="26"/>
      <c r="HC824" s="65"/>
      <c r="HD824" s="26"/>
      <c r="HE824" s="26">
        <v>75.72</v>
      </c>
      <c r="HF824" s="26"/>
      <c r="HG824" s="26"/>
      <c r="HH824" s="65"/>
      <c r="HI824" s="26"/>
      <c r="HJ824" s="26"/>
      <c r="HK824" s="25"/>
      <c r="HL824" s="25"/>
    </row>
    <row r="825" spans="1:220" ht="15.75" customHeight="1" x14ac:dyDescent="0.2">
      <c r="A825" s="58">
        <v>43690.123425925929</v>
      </c>
      <c r="B825" s="32">
        <v>589859</v>
      </c>
      <c r="C825" s="26">
        <v>77</v>
      </c>
      <c r="D825" s="86" t="s">
        <v>865</v>
      </c>
      <c r="E825" s="32">
        <f t="shared" si="22"/>
        <v>0</v>
      </c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  <c r="FJ825" s="25"/>
      <c r="FK825" s="25"/>
      <c r="FL825" s="25"/>
      <c r="FM825" s="25"/>
      <c r="FN825" s="25"/>
      <c r="FO825" s="25"/>
      <c r="FP825" s="25"/>
      <c r="FQ825" s="25"/>
      <c r="FR825" s="25"/>
      <c r="FS825" s="25"/>
      <c r="FT825" s="25"/>
      <c r="FU825" s="25"/>
      <c r="FV825" s="77"/>
      <c r="FW825" s="28"/>
      <c r="FX825" s="28"/>
      <c r="FY825" s="26"/>
      <c r="FZ825" s="26"/>
      <c r="GA825" s="26"/>
      <c r="GB825" s="26"/>
      <c r="GC825" s="26"/>
      <c r="GD825" s="26"/>
      <c r="GE825" s="26"/>
      <c r="GF825" s="26"/>
      <c r="GG825" s="26"/>
      <c r="GH825" s="26"/>
      <c r="GI825" s="26"/>
      <c r="GJ825" s="26"/>
      <c r="GK825" s="26"/>
      <c r="GL825" s="65"/>
      <c r="GM825" s="26"/>
      <c r="GN825" s="26"/>
      <c r="GO825" s="26"/>
      <c r="GP825" s="26"/>
      <c r="GQ825" s="26"/>
      <c r="GR825" s="26"/>
      <c r="GS825" s="64"/>
      <c r="GT825" s="26"/>
      <c r="GU825" s="26"/>
      <c r="GV825" s="26"/>
      <c r="GW825" s="26"/>
      <c r="GX825" s="64"/>
      <c r="GY825" s="26"/>
      <c r="GZ825" s="26"/>
      <c r="HA825" s="26"/>
      <c r="HB825" s="26"/>
      <c r="HC825" s="65"/>
      <c r="HD825" s="26">
        <v>32</v>
      </c>
      <c r="HE825" s="26">
        <v>45</v>
      </c>
      <c r="HF825" s="26"/>
      <c r="HG825" s="26"/>
      <c r="HH825" s="65"/>
      <c r="HI825" s="26"/>
      <c r="HJ825" s="26"/>
      <c r="HK825" s="25"/>
      <c r="HL825" s="25"/>
    </row>
    <row r="826" spans="1:220" ht="15.75" customHeight="1" x14ac:dyDescent="0.2">
      <c r="A826" s="58">
        <v>43690.123425925929</v>
      </c>
      <c r="B826" s="32">
        <v>589859</v>
      </c>
      <c r="C826" s="26">
        <v>77</v>
      </c>
      <c r="D826" s="86" t="s">
        <v>866</v>
      </c>
      <c r="E826" s="32">
        <f t="shared" si="22"/>
        <v>0</v>
      </c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  <c r="FJ826" s="25"/>
      <c r="FK826" s="25"/>
      <c r="FL826" s="25"/>
      <c r="FM826" s="25"/>
      <c r="FN826" s="25"/>
      <c r="FO826" s="25"/>
      <c r="FP826" s="25"/>
      <c r="FQ826" s="25"/>
      <c r="FR826" s="25"/>
      <c r="FS826" s="25"/>
      <c r="FT826" s="25"/>
      <c r="FU826" s="25"/>
      <c r="FV826" s="77"/>
      <c r="FW826" s="28"/>
      <c r="FX826" s="28"/>
      <c r="FY826" s="26"/>
      <c r="FZ826" s="26"/>
      <c r="GA826" s="26"/>
      <c r="GB826" s="26"/>
      <c r="GC826" s="26"/>
      <c r="GD826" s="26"/>
      <c r="GE826" s="26"/>
      <c r="GF826" s="26"/>
      <c r="GG826" s="26"/>
      <c r="GH826" s="26"/>
      <c r="GI826" s="26"/>
      <c r="GJ826" s="26"/>
      <c r="GK826" s="26"/>
      <c r="GL826" s="65"/>
      <c r="GM826" s="26"/>
      <c r="GN826" s="26"/>
      <c r="GO826" s="26"/>
      <c r="GP826" s="26"/>
      <c r="GQ826" s="26"/>
      <c r="GR826" s="26"/>
      <c r="GS826" s="64"/>
      <c r="GT826" s="26"/>
      <c r="GU826" s="26"/>
      <c r="GV826" s="26"/>
      <c r="GW826" s="26"/>
      <c r="GX826" s="64"/>
      <c r="GY826" s="26"/>
      <c r="GZ826" s="26"/>
      <c r="HA826" s="26"/>
      <c r="HB826" s="26"/>
      <c r="HC826" s="65"/>
      <c r="HD826" s="26">
        <v>32</v>
      </c>
      <c r="HE826" s="26">
        <v>45</v>
      </c>
      <c r="HF826" s="26"/>
      <c r="HG826" s="26"/>
      <c r="HH826" s="65"/>
      <c r="HI826" s="26"/>
      <c r="HJ826" s="26"/>
      <c r="HK826" s="25"/>
      <c r="HL826" s="25"/>
    </row>
    <row r="827" spans="1:220" ht="15.75" customHeight="1" x14ac:dyDescent="0.2">
      <c r="A827" s="58">
        <v>43685.430659722224</v>
      </c>
      <c r="B827" s="32">
        <v>589165</v>
      </c>
      <c r="C827" s="26">
        <v>49</v>
      </c>
      <c r="D827" s="86" t="s">
        <v>867</v>
      </c>
      <c r="E827" s="32">
        <f t="shared" si="22"/>
        <v>0</v>
      </c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  <c r="FJ827" s="25"/>
      <c r="FK827" s="25"/>
      <c r="FL827" s="25"/>
      <c r="FM827" s="25"/>
      <c r="FN827" s="25"/>
      <c r="FO827" s="25"/>
      <c r="FP827" s="25"/>
      <c r="FQ827" s="25"/>
      <c r="FR827" s="25"/>
      <c r="FS827" s="25"/>
      <c r="FT827" s="25"/>
      <c r="FU827" s="25"/>
      <c r="FV827" s="77"/>
      <c r="FW827" s="28"/>
      <c r="FX827" s="28"/>
      <c r="FY827" s="26"/>
      <c r="FZ827" s="26"/>
      <c r="GA827" s="26"/>
      <c r="GB827" s="26"/>
      <c r="GC827" s="26"/>
      <c r="GD827" s="26"/>
      <c r="GE827" s="26"/>
      <c r="GF827" s="26"/>
      <c r="GG827" s="26"/>
      <c r="GH827" s="26"/>
      <c r="GI827" s="26"/>
      <c r="GJ827" s="26"/>
      <c r="GK827" s="26"/>
      <c r="GL827" s="65"/>
      <c r="GM827" s="26"/>
      <c r="GN827" s="26"/>
      <c r="GO827" s="26"/>
      <c r="GP827" s="26"/>
      <c r="GQ827" s="26"/>
      <c r="GR827" s="26"/>
      <c r="GS827" s="64"/>
      <c r="GT827" s="26"/>
      <c r="GU827" s="26"/>
      <c r="GV827" s="26"/>
      <c r="GW827" s="26"/>
      <c r="GX827" s="64"/>
      <c r="GY827" s="26"/>
      <c r="GZ827" s="26"/>
      <c r="HA827" s="26">
        <v>49</v>
      </c>
      <c r="HB827" s="26"/>
      <c r="HC827" s="65"/>
      <c r="HD827" s="26"/>
      <c r="HE827" s="26"/>
      <c r="HF827" s="26"/>
      <c r="HG827" s="26"/>
      <c r="HH827" s="65"/>
      <c r="HI827" s="26"/>
      <c r="HJ827" s="26"/>
      <c r="HK827" s="25"/>
      <c r="HL827" s="25"/>
    </row>
    <row r="828" spans="1:220" ht="15.75" customHeight="1" x14ac:dyDescent="0.2">
      <c r="A828" s="58">
        <v>43699.326249999998</v>
      </c>
      <c r="B828" s="32">
        <v>591204</v>
      </c>
      <c r="C828" s="26">
        <v>50</v>
      </c>
      <c r="D828" s="86" t="s">
        <v>868</v>
      </c>
      <c r="E828" s="32">
        <f t="shared" si="22"/>
        <v>0</v>
      </c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  <c r="FJ828" s="25"/>
      <c r="FK828" s="25"/>
      <c r="FL828" s="25"/>
      <c r="FM828" s="25"/>
      <c r="FN828" s="25"/>
      <c r="FO828" s="25"/>
      <c r="FP828" s="25"/>
      <c r="FQ828" s="25"/>
      <c r="FR828" s="25"/>
      <c r="FS828" s="25"/>
      <c r="FT828" s="25"/>
      <c r="FU828" s="25"/>
      <c r="FV828" s="77"/>
      <c r="FW828" s="28"/>
      <c r="FX828" s="28"/>
      <c r="FY828" s="26"/>
      <c r="FZ828" s="26"/>
      <c r="GA828" s="26"/>
      <c r="GB828" s="26"/>
      <c r="GC828" s="26"/>
      <c r="GD828" s="26"/>
      <c r="GE828" s="26"/>
      <c r="GF828" s="26"/>
      <c r="GG828" s="26"/>
      <c r="GH828" s="26"/>
      <c r="GI828" s="26"/>
      <c r="GJ828" s="26"/>
      <c r="GK828" s="26"/>
      <c r="GL828" s="65"/>
      <c r="GM828" s="26"/>
      <c r="GN828" s="26"/>
      <c r="GO828" s="26"/>
      <c r="GP828" s="26"/>
      <c r="GQ828" s="26"/>
      <c r="GR828" s="26"/>
      <c r="GS828" s="64"/>
      <c r="GT828" s="26"/>
      <c r="GU828" s="26"/>
      <c r="GV828" s="26">
        <v>50</v>
      </c>
      <c r="GW828" s="26"/>
      <c r="GX828" s="64"/>
      <c r="GY828" s="26"/>
      <c r="GZ828" s="26"/>
      <c r="HA828" s="26"/>
      <c r="HB828" s="26"/>
      <c r="HC828" s="65"/>
      <c r="HD828" s="26"/>
      <c r="HE828" s="26"/>
      <c r="HF828" s="26"/>
      <c r="HG828" s="26"/>
      <c r="HH828" s="65"/>
      <c r="HI828" s="26"/>
      <c r="HJ828" s="26"/>
      <c r="HK828" s="25"/>
      <c r="HL828" s="25"/>
    </row>
    <row r="829" spans="1:220" ht="15.75" customHeight="1" x14ac:dyDescent="0.2">
      <c r="A829" s="58">
        <v>43686.52076388889</v>
      </c>
      <c r="B829" s="32">
        <v>589328</v>
      </c>
      <c r="C829" s="26">
        <v>60</v>
      </c>
      <c r="D829" s="86" t="s">
        <v>869</v>
      </c>
      <c r="E829" s="32">
        <f t="shared" ref="E829:E895" si="23">C829-SUM(AN829:HK829)</f>
        <v>0</v>
      </c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  <c r="FJ829" s="25"/>
      <c r="FK829" s="25"/>
      <c r="FL829" s="25"/>
      <c r="FM829" s="25"/>
      <c r="FN829" s="25"/>
      <c r="FO829" s="25"/>
      <c r="FP829" s="25"/>
      <c r="FQ829" s="25"/>
      <c r="FR829" s="25"/>
      <c r="FS829" s="25"/>
      <c r="FT829" s="25"/>
      <c r="FU829" s="25"/>
      <c r="FV829" s="77"/>
      <c r="FW829" s="28"/>
      <c r="FX829" s="28"/>
      <c r="FY829" s="26"/>
      <c r="FZ829" s="26"/>
      <c r="GA829" s="26"/>
      <c r="GB829" s="26"/>
      <c r="GC829" s="26"/>
      <c r="GD829" s="26"/>
      <c r="GE829" s="26"/>
      <c r="GF829" s="26"/>
      <c r="GG829" s="26"/>
      <c r="GH829" s="26"/>
      <c r="GI829" s="26"/>
      <c r="GJ829" s="26"/>
      <c r="GK829" s="26"/>
      <c r="GL829" s="65"/>
      <c r="GM829" s="26"/>
      <c r="GN829" s="26"/>
      <c r="GO829" s="26"/>
      <c r="GP829" s="26"/>
      <c r="GQ829" s="26"/>
      <c r="GR829" s="26"/>
      <c r="GS829" s="64"/>
      <c r="GT829" s="26"/>
      <c r="GU829" s="26"/>
      <c r="GV829" s="26"/>
      <c r="GW829" s="26"/>
      <c r="GX829" s="64"/>
      <c r="GY829" s="26"/>
      <c r="GZ829" s="26"/>
      <c r="HA829" s="26"/>
      <c r="HB829" s="26"/>
      <c r="HC829" s="65"/>
      <c r="HD829" s="26"/>
      <c r="HE829" s="26"/>
      <c r="HF829" s="26"/>
      <c r="HG829" s="26"/>
      <c r="HH829" s="65"/>
      <c r="HI829" s="26">
        <v>60</v>
      </c>
      <c r="HJ829" s="26"/>
      <c r="HK829" s="25"/>
      <c r="HL829" s="25"/>
    </row>
    <row r="830" spans="1:220" ht="15.75" customHeight="1" x14ac:dyDescent="0.2">
      <c r="A830" s="58">
        <v>43686.593078703707</v>
      </c>
      <c r="B830" s="32">
        <v>589342</v>
      </c>
      <c r="C830" s="26">
        <v>50</v>
      </c>
      <c r="D830" s="86" t="s">
        <v>870</v>
      </c>
      <c r="E830" s="32">
        <f t="shared" si="23"/>
        <v>0</v>
      </c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  <c r="FJ830" s="25"/>
      <c r="FK830" s="25"/>
      <c r="FL830" s="25"/>
      <c r="FM830" s="25"/>
      <c r="FN830" s="25"/>
      <c r="FO830" s="25"/>
      <c r="FP830" s="25"/>
      <c r="FQ830" s="25"/>
      <c r="FR830" s="25"/>
      <c r="FS830" s="25"/>
      <c r="FT830" s="25"/>
      <c r="FU830" s="25"/>
      <c r="FV830" s="77"/>
      <c r="FW830" s="28"/>
      <c r="FX830" s="28"/>
      <c r="FY830" s="26"/>
      <c r="FZ830" s="26"/>
      <c r="GA830" s="26"/>
      <c r="GB830" s="26"/>
      <c r="GC830" s="26"/>
      <c r="GD830" s="26"/>
      <c r="GE830" s="26"/>
      <c r="GF830" s="26"/>
      <c r="GG830" s="26"/>
      <c r="GH830" s="26"/>
      <c r="GI830" s="26"/>
      <c r="GJ830" s="26"/>
      <c r="GK830" s="26"/>
      <c r="GL830" s="65"/>
      <c r="GM830" s="26"/>
      <c r="GN830" s="26"/>
      <c r="GO830" s="26"/>
      <c r="GP830" s="26"/>
      <c r="GQ830" s="26"/>
      <c r="GR830" s="26"/>
      <c r="GS830" s="64"/>
      <c r="GT830" s="26"/>
      <c r="GU830" s="26"/>
      <c r="GV830" s="26"/>
      <c r="GW830" s="26"/>
      <c r="GX830" s="64"/>
      <c r="GY830" s="26"/>
      <c r="GZ830" s="26"/>
      <c r="HA830" s="26"/>
      <c r="HB830" s="26"/>
      <c r="HC830" s="65"/>
      <c r="HD830" s="26"/>
      <c r="HE830" s="26"/>
      <c r="HF830" s="26"/>
      <c r="HG830" s="26">
        <v>10</v>
      </c>
      <c r="HH830" s="65">
        <v>40</v>
      </c>
      <c r="HI830" s="26"/>
      <c r="HJ830" s="26"/>
      <c r="HK830" s="25"/>
      <c r="HL830" s="25"/>
    </row>
    <row r="831" spans="1:220" ht="15.75" customHeight="1" x14ac:dyDescent="0.2">
      <c r="A831" s="58">
        <v>43685.428356481483</v>
      </c>
      <c r="B831" s="32">
        <v>589163</v>
      </c>
      <c r="C831" s="26">
        <v>50</v>
      </c>
      <c r="D831" s="86" t="s">
        <v>871</v>
      </c>
      <c r="E831" s="32">
        <f t="shared" si="23"/>
        <v>0</v>
      </c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  <c r="FJ831" s="25"/>
      <c r="FK831" s="25"/>
      <c r="FL831" s="25"/>
      <c r="FM831" s="25"/>
      <c r="FN831" s="25"/>
      <c r="FO831" s="25"/>
      <c r="FP831" s="25"/>
      <c r="FQ831" s="25"/>
      <c r="FR831" s="25"/>
      <c r="FS831" s="25"/>
      <c r="FT831" s="25"/>
      <c r="FU831" s="25"/>
      <c r="FV831" s="77"/>
      <c r="FW831" s="28"/>
      <c r="FX831" s="28"/>
      <c r="FY831" s="26"/>
      <c r="FZ831" s="26"/>
      <c r="GA831" s="26"/>
      <c r="GB831" s="26"/>
      <c r="GC831" s="26"/>
      <c r="GD831" s="26"/>
      <c r="GE831" s="26"/>
      <c r="GF831" s="26"/>
      <c r="GG831" s="26"/>
      <c r="GH831" s="26"/>
      <c r="GI831" s="26"/>
      <c r="GJ831" s="26"/>
      <c r="GK831" s="26"/>
      <c r="GL831" s="65"/>
      <c r="GM831" s="26"/>
      <c r="GN831" s="26"/>
      <c r="GO831" s="26"/>
      <c r="GP831" s="26"/>
      <c r="GQ831" s="26"/>
      <c r="GR831" s="26"/>
      <c r="GS831" s="64"/>
      <c r="GT831" s="26"/>
      <c r="GU831" s="26"/>
      <c r="GV831" s="26"/>
      <c r="GW831" s="26"/>
      <c r="GX831" s="64"/>
      <c r="GY831" s="26"/>
      <c r="GZ831" s="26"/>
      <c r="HA831" s="26"/>
      <c r="HB831" s="26"/>
      <c r="HC831" s="65"/>
      <c r="HD831" s="26"/>
      <c r="HE831" s="26"/>
      <c r="HF831" s="26"/>
      <c r="HG831" s="26"/>
      <c r="HH831" s="65"/>
      <c r="HI831" s="26"/>
      <c r="HJ831" s="26">
        <v>50</v>
      </c>
      <c r="HK831" s="25"/>
      <c r="HL831" s="25"/>
    </row>
    <row r="832" spans="1:220" ht="15.75" customHeight="1" x14ac:dyDescent="0.2">
      <c r="A832" s="58">
        <v>43687.256562499999</v>
      </c>
      <c r="B832" s="32">
        <v>589431</v>
      </c>
      <c r="C832" s="26">
        <v>100</v>
      </c>
      <c r="D832" s="86" t="s">
        <v>872</v>
      </c>
      <c r="E832" s="32">
        <f t="shared" si="23"/>
        <v>0</v>
      </c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  <c r="FE832" s="25"/>
      <c r="FF832" s="25"/>
      <c r="FG832" s="25"/>
      <c r="FH832" s="25"/>
      <c r="FI832" s="25"/>
      <c r="FJ832" s="25"/>
      <c r="FK832" s="25"/>
      <c r="FL832" s="25"/>
      <c r="FM832" s="25"/>
      <c r="FN832" s="25"/>
      <c r="FO832" s="25"/>
      <c r="FP832" s="25"/>
      <c r="FQ832" s="25"/>
      <c r="FR832" s="25"/>
      <c r="FS832" s="25"/>
      <c r="FT832" s="25"/>
      <c r="FU832" s="25"/>
      <c r="FV832" s="77"/>
      <c r="FW832" s="28"/>
      <c r="FX832" s="28"/>
      <c r="FY832" s="26"/>
      <c r="FZ832" s="26"/>
      <c r="GA832" s="26"/>
      <c r="GB832" s="26"/>
      <c r="GC832" s="26"/>
      <c r="GD832" s="26"/>
      <c r="GE832" s="26"/>
      <c r="GF832" s="26"/>
      <c r="GG832" s="26"/>
      <c r="GH832" s="26"/>
      <c r="GI832" s="26"/>
      <c r="GJ832" s="26"/>
      <c r="GK832" s="26"/>
      <c r="GL832" s="65"/>
      <c r="GM832" s="26"/>
      <c r="GN832" s="26"/>
      <c r="GO832" s="26"/>
      <c r="GP832" s="26"/>
      <c r="GQ832" s="26"/>
      <c r="GR832" s="26"/>
      <c r="GS832" s="64"/>
      <c r="GT832" s="26"/>
      <c r="GU832" s="26"/>
      <c r="GV832" s="26"/>
      <c r="GW832" s="26"/>
      <c r="GX832" s="64"/>
      <c r="GY832" s="26"/>
      <c r="GZ832" s="26"/>
      <c r="HA832" s="26"/>
      <c r="HB832" s="26"/>
      <c r="HC832" s="65"/>
      <c r="HD832" s="26"/>
      <c r="HE832" s="26"/>
      <c r="HF832" s="26"/>
      <c r="HG832" s="26"/>
      <c r="HH832" s="65">
        <v>100</v>
      </c>
      <c r="HI832" s="26"/>
      <c r="HJ832" s="26"/>
      <c r="HK832" s="25"/>
      <c r="HL832" s="25"/>
    </row>
    <row r="833" spans="1:220" ht="15.75" customHeight="1" x14ac:dyDescent="0.2">
      <c r="A833" s="58">
        <v>43687.187488425923</v>
      </c>
      <c r="B833" s="32">
        <v>589423</v>
      </c>
      <c r="C833" s="26">
        <v>100</v>
      </c>
      <c r="D833" s="86" t="s">
        <v>873</v>
      </c>
      <c r="E833" s="32">
        <f t="shared" si="23"/>
        <v>0</v>
      </c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  <c r="FE833" s="25"/>
      <c r="FF833" s="25"/>
      <c r="FG833" s="25"/>
      <c r="FH833" s="25"/>
      <c r="FI833" s="25"/>
      <c r="FJ833" s="25"/>
      <c r="FK833" s="25"/>
      <c r="FL833" s="25"/>
      <c r="FM833" s="25"/>
      <c r="FN833" s="25"/>
      <c r="FO833" s="25"/>
      <c r="FP833" s="25"/>
      <c r="FQ833" s="25"/>
      <c r="FR833" s="25"/>
      <c r="FS833" s="25"/>
      <c r="FT833" s="25"/>
      <c r="FU833" s="25"/>
      <c r="FV833" s="77"/>
      <c r="FW833" s="28"/>
      <c r="FX833" s="28"/>
      <c r="FY833" s="26"/>
      <c r="FZ833" s="26"/>
      <c r="GA833" s="26"/>
      <c r="GB833" s="26"/>
      <c r="GC833" s="26"/>
      <c r="GD833" s="26"/>
      <c r="GE833" s="26"/>
      <c r="GF833" s="26"/>
      <c r="GG833" s="26"/>
      <c r="GH833" s="26"/>
      <c r="GI833" s="26"/>
      <c r="GJ833" s="26"/>
      <c r="GK833" s="26"/>
      <c r="GL833" s="65"/>
      <c r="GM833" s="26"/>
      <c r="GN833" s="26"/>
      <c r="GO833" s="26"/>
      <c r="GP833" s="26"/>
      <c r="GQ833" s="26"/>
      <c r="GR833" s="26"/>
      <c r="GS833" s="64"/>
      <c r="GT833" s="26"/>
      <c r="GU833" s="26"/>
      <c r="GV833" s="26"/>
      <c r="GW833" s="26"/>
      <c r="GX833" s="64"/>
      <c r="GY833" s="26"/>
      <c r="GZ833" s="26"/>
      <c r="HA833" s="26"/>
      <c r="HB833" s="26"/>
      <c r="HC833" s="65"/>
      <c r="HD833" s="26"/>
      <c r="HE833" s="26"/>
      <c r="HF833" s="26"/>
      <c r="HG833" s="26"/>
      <c r="HH833" s="65">
        <v>100</v>
      </c>
      <c r="HI833" s="26"/>
      <c r="HJ833" s="26"/>
      <c r="HK833" s="25"/>
      <c r="HL833" s="25"/>
    </row>
    <row r="834" spans="1:220" ht="15.75" customHeight="1" x14ac:dyDescent="0.2">
      <c r="A834" s="58">
        <v>43686.332557870373</v>
      </c>
      <c r="B834" s="32">
        <v>589303</v>
      </c>
      <c r="C834" s="26">
        <v>50</v>
      </c>
      <c r="D834" s="86" t="s">
        <v>874</v>
      </c>
      <c r="E834" s="32">
        <f t="shared" si="23"/>
        <v>0</v>
      </c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  <c r="FJ834" s="25"/>
      <c r="FK834" s="25"/>
      <c r="FL834" s="25"/>
      <c r="FM834" s="25"/>
      <c r="FN834" s="25"/>
      <c r="FO834" s="25"/>
      <c r="FP834" s="25"/>
      <c r="FQ834" s="25"/>
      <c r="FR834" s="25"/>
      <c r="FS834" s="25"/>
      <c r="FT834" s="25"/>
      <c r="FU834" s="25"/>
      <c r="FV834" s="77"/>
      <c r="FW834" s="28"/>
      <c r="FX834" s="28"/>
      <c r="FY834" s="26"/>
      <c r="FZ834" s="26"/>
      <c r="GA834" s="26"/>
      <c r="GB834" s="26"/>
      <c r="GC834" s="26"/>
      <c r="GD834" s="26"/>
      <c r="GE834" s="26"/>
      <c r="GF834" s="26"/>
      <c r="GG834" s="26"/>
      <c r="GH834" s="26"/>
      <c r="GI834" s="26"/>
      <c r="GJ834" s="26"/>
      <c r="GK834" s="26"/>
      <c r="GL834" s="65"/>
      <c r="GM834" s="26"/>
      <c r="GN834" s="26"/>
      <c r="GO834" s="26"/>
      <c r="GP834" s="26"/>
      <c r="GQ834" s="26"/>
      <c r="GR834" s="26"/>
      <c r="GS834" s="64"/>
      <c r="GT834" s="26"/>
      <c r="GU834" s="26"/>
      <c r="GV834" s="26">
        <v>50</v>
      </c>
      <c r="GW834" s="26"/>
      <c r="GX834" s="64"/>
      <c r="GY834" s="26"/>
      <c r="GZ834" s="26"/>
      <c r="HA834" s="26"/>
      <c r="HB834" s="26"/>
      <c r="HC834" s="65"/>
      <c r="HD834" s="26"/>
      <c r="HE834" s="26"/>
      <c r="HF834" s="26"/>
      <c r="HG834" s="26"/>
      <c r="HH834" s="65"/>
      <c r="HI834" s="26"/>
      <c r="HJ834" s="26"/>
      <c r="HK834" s="25"/>
      <c r="HL834" s="25"/>
    </row>
    <row r="835" spans="1:220" ht="15.75" customHeight="1" x14ac:dyDescent="0.2">
      <c r="A835" s="58">
        <v>43686.332557870373</v>
      </c>
      <c r="B835" s="32">
        <v>589303</v>
      </c>
      <c r="C835" s="26">
        <v>50</v>
      </c>
      <c r="D835" s="86" t="s">
        <v>875</v>
      </c>
      <c r="E835" s="32">
        <f t="shared" si="23"/>
        <v>0</v>
      </c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  <c r="FE835" s="25"/>
      <c r="FF835" s="25"/>
      <c r="FG835" s="25"/>
      <c r="FH835" s="25"/>
      <c r="FI835" s="25"/>
      <c r="FJ835" s="25"/>
      <c r="FK835" s="25"/>
      <c r="FL835" s="25"/>
      <c r="FM835" s="25"/>
      <c r="FN835" s="25"/>
      <c r="FO835" s="25"/>
      <c r="FP835" s="25"/>
      <c r="FQ835" s="25"/>
      <c r="FR835" s="25"/>
      <c r="FS835" s="25"/>
      <c r="FT835" s="25"/>
      <c r="FU835" s="25"/>
      <c r="FV835" s="77"/>
      <c r="FW835" s="28"/>
      <c r="FX835" s="28"/>
      <c r="FY835" s="26"/>
      <c r="FZ835" s="26"/>
      <c r="GA835" s="26"/>
      <c r="GB835" s="26"/>
      <c r="GC835" s="26"/>
      <c r="GD835" s="26"/>
      <c r="GE835" s="26"/>
      <c r="GF835" s="26"/>
      <c r="GG835" s="26"/>
      <c r="GH835" s="26"/>
      <c r="GI835" s="26"/>
      <c r="GJ835" s="26"/>
      <c r="GK835" s="26"/>
      <c r="GL835" s="65"/>
      <c r="GM835" s="26"/>
      <c r="GN835" s="26"/>
      <c r="GO835" s="26"/>
      <c r="GP835" s="26"/>
      <c r="GQ835" s="26"/>
      <c r="GR835" s="26"/>
      <c r="GS835" s="64"/>
      <c r="GT835" s="26"/>
      <c r="GU835" s="26"/>
      <c r="GV835" s="25"/>
      <c r="GW835" s="26"/>
      <c r="GX835" s="64"/>
      <c r="GY835" s="26"/>
      <c r="GZ835" s="26"/>
      <c r="HA835" s="26"/>
      <c r="HB835" s="26"/>
      <c r="HC835" s="65"/>
      <c r="HD835" s="26"/>
      <c r="HE835" s="26"/>
      <c r="HF835" s="26"/>
      <c r="HG835" s="26"/>
      <c r="HH835" s="65"/>
      <c r="HI835" s="26">
        <v>50</v>
      </c>
      <c r="HJ835" s="26"/>
      <c r="HK835" s="25"/>
      <c r="HL835" s="25"/>
    </row>
    <row r="836" spans="1:220" ht="15.75" customHeight="1" x14ac:dyDescent="0.2">
      <c r="A836" s="58">
        <v>43686.332557870373</v>
      </c>
      <c r="B836" s="32">
        <v>589303</v>
      </c>
      <c r="C836" s="26">
        <v>50</v>
      </c>
      <c r="D836" s="86" t="s">
        <v>876</v>
      </c>
      <c r="E836" s="32">
        <f t="shared" si="23"/>
        <v>0</v>
      </c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  <c r="FE836" s="25"/>
      <c r="FF836" s="25"/>
      <c r="FG836" s="25"/>
      <c r="FH836" s="25"/>
      <c r="FI836" s="25"/>
      <c r="FJ836" s="25"/>
      <c r="FK836" s="25"/>
      <c r="FL836" s="25"/>
      <c r="FM836" s="25"/>
      <c r="FN836" s="25"/>
      <c r="FO836" s="25"/>
      <c r="FP836" s="25"/>
      <c r="FQ836" s="25"/>
      <c r="FR836" s="25"/>
      <c r="FS836" s="25"/>
      <c r="FT836" s="25"/>
      <c r="FU836" s="25"/>
      <c r="FV836" s="77"/>
      <c r="FW836" s="28"/>
      <c r="FX836" s="28"/>
      <c r="FY836" s="26"/>
      <c r="FZ836" s="26"/>
      <c r="GA836" s="26"/>
      <c r="GB836" s="26"/>
      <c r="GC836" s="26"/>
      <c r="GD836" s="26"/>
      <c r="GE836" s="26"/>
      <c r="GF836" s="26"/>
      <c r="GG836" s="26"/>
      <c r="GH836" s="26"/>
      <c r="GI836" s="26"/>
      <c r="GJ836" s="26"/>
      <c r="GK836" s="26"/>
      <c r="GL836" s="65"/>
      <c r="GM836" s="26"/>
      <c r="GN836" s="26"/>
      <c r="GO836" s="26"/>
      <c r="GP836" s="26"/>
      <c r="GQ836" s="26"/>
      <c r="GR836" s="26"/>
      <c r="GS836" s="64"/>
      <c r="GT836" s="26"/>
      <c r="GU836" s="26"/>
      <c r="GV836" s="26"/>
      <c r="GW836" s="26"/>
      <c r="GX836" s="64"/>
      <c r="GY836" s="26"/>
      <c r="GZ836" s="26"/>
      <c r="HA836" s="26"/>
      <c r="HB836" s="26"/>
      <c r="HC836" s="65"/>
      <c r="HD836" s="26"/>
      <c r="HE836" s="26"/>
      <c r="HF836" s="26"/>
      <c r="HG836" s="26"/>
      <c r="HH836" s="65"/>
      <c r="HI836" s="26">
        <v>50</v>
      </c>
      <c r="HJ836" s="26"/>
      <c r="HK836" s="25"/>
      <c r="HL836" s="25"/>
    </row>
    <row r="837" spans="1:220" ht="15.75" customHeight="1" x14ac:dyDescent="0.2">
      <c r="A837" s="58">
        <v>43687.177951388891</v>
      </c>
      <c r="B837" s="32">
        <v>589422</v>
      </c>
      <c r="C837" s="26">
        <v>5</v>
      </c>
      <c r="D837" s="86" t="s">
        <v>877</v>
      </c>
      <c r="E837" s="32">
        <f t="shared" si="23"/>
        <v>0</v>
      </c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  <c r="FE837" s="25"/>
      <c r="FF837" s="25"/>
      <c r="FG837" s="25"/>
      <c r="FH837" s="25"/>
      <c r="FI837" s="25"/>
      <c r="FJ837" s="25"/>
      <c r="FK837" s="25"/>
      <c r="FL837" s="25"/>
      <c r="FM837" s="25"/>
      <c r="FN837" s="25"/>
      <c r="FO837" s="25"/>
      <c r="FP837" s="25"/>
      <c r="FQ837" s="25"/>
      <c r="FR837" s="25"/>
      <c r="FS837" s="25"/>
      <c r="FT837" s="25"/>
      <c r="FU837" s="25"/>
      <c r="FV837" s="77"/>
      <c r="FW837" s="28"/>
      <c r="FX837" s="28"/>
      <c r="FY837" s="26"/>
      <c r="FZ837" s="26"/>
      <c r="GA837" s="26"/>
      <c r="GB837" s="26"/>
      <c r="GC837" s="26"/>
      <c r="GD837" s="26"/>
      <c r="GE837" s="26"/>
      <c r="GF837" s="26"/>
      <c r="GG837" s="26"/>
      <c r="GH837" s="26"/>
      <c r="GI837" s="26"/>
      <c r="GJ837" s="26"/>
      <c r="GK837" s="26"/>
      <c r="GL837" s="65"/>
      <c r="GM837" s="26"/>
      <c r="GN837" s="26"/>
      <c r="GO837" s="26"/>
      <c r="GP837" s="26"/>
      <c r="GQ837" s="26"/>
      <c r="GR837" s="26"/>
      <c r="GS837" s="64"/>
      <c r="GT837" s="26"/>
      <c r="GU837" s="26"/>
      <c r="GV837" s="26"/>
      <c r="GW837" s="26"/>
      <c r="GX837" s="64"/>
      <c r="GY837" s="26"/>
      <c r="GZ837" s="26"/>
      <c r="HA837" s="26"/>
      <c r="HB837" s="26"/>
      <c r="HC837" s="65"/>
      <c r="HD837" s="26"/>
      <c r="HE837" s="26"/>
      <c r="HF837" s="26"/>
      <c r="HG837" s="26"/>
      <c r="HH837" s="65">
        <v>5</v>
      </c>
      <c r="HI837" s="26"/>
      <c r="HJ837" s="26"/>
      <c r="HK837" s="25"/>
      <c r="HL837" s="25"/>
    </row>
    <row r="838" spans="1:220" ht="15.75" customHeight="1" x14ac:dyDescent="0.2">
      <c r="A838" s="58">
        <v>43687.177951388891</v>
      </c>
      <c r="B838" s="32">
        <v>589422</v>
      </c>
      <c r="C838" s="26">
        <v>45</v>
      </c>
      <c r="D838" s="86" t="s">
        <v>878</v>
      </c>
      <c r="E838" s="32">
        <f t="shared" si="23"/>
        <v>0</v>
      </c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  <c r="FE838" s="25"/>
      <c r="FF838" s="25"/>
      <c r="FG838" s="25"/>
      <c r="FH838" s="25"/>
      <c r="FI838" s="25"/>
      <c r="FJ838" s="25"/>
      <c r="FK838" s="25"/>
      <c r="FL838" s="25"/>
      <c r="FM838" s="25"/>
      <c r="FN838" s="25"/>
      <c r="FO838" s="25"/>
      <c r="FP838" s="25"/>
      <c r="FQ838" s="25"/>
      <c r="FR838" s="25"/>
      <c r="FS838" s="25"/>
      <c r="FT838" s="25"/>
      <c r="FU838" s="25"/>
      <c r="FV838" s="77"/>
      <c r="FW838" s="28"/>
      <c r="FX838" s="28"/>
      <c r="FY838" s="26"/>
      <c r="FZ838" s="26"/>
      <c r="GA838" s="26"/>
      <c r="GB838" s="26"/>
      <c r="GC838" s="26"/>
      <c r="GD838" s="26"/>
      <c r="GE838" s="26"/>
      <c r="GF838" s="26"/>
      <c r="GG838" s="26"/>
      <c r="GH838" s="26"/>
      <c r="GI838" s="26"/>
      <c r="GJ838" s="26"/>
      <c r="GK838" s="26"/>
      <c r="GL838" s="65"/>
      <c r="GM838" s="26"/>
      <c r="GN838" s="26"/>
      <c r="GO838" s="26"/>
      <c r="GP838" s="26"/>
      <c r="GQ838" s="26"/>
      <c r="GR838" s="26"/>
      <c r="GS838" s="64"/>
      <c r="GT838" s="26"/>
      <c r="GU838" s="26"/>
      <c r="GV838" s="26"/>
      <c r="GW838" s="26"/>
      <c r="GX838" s="64"/>
      <c r="GY838" s="26"/>
      <c r="GZ838" s="26"/>
      <c r="HA838" s="26"/>
      <c r="HB838" s="26"/>
      <c r="HC838" s="65"/>
      <c r="HD838" s="26"/>
      <c r="HE838" s="26"/>
      <c r="HF838" s="26"/>
      <c r="HG838" s="26"/>
      <c r="HH838" s="65">
        <v>45</v>
      </c>
      <c r="HI838" s="26"/>
      <c r="HJ838" s="26"/>
      <c r="HK838" s="25"/>
      <c r="HL838" s="25"/>
    </row>
    <row r="839" spans="1:220" ht="15.75" customHeight="1" x14ac:dyDescent="0.2">
      <c r="A839" s="58">
        <v>43689.115925925929</v>
      </c>
      <c r="B839" s="32">
        <v>589724</v>
      </c>
      <c r="C839" s="26">
        <v>39.89</v>
      </c>
      <c r="D839" s="86" t="s">
        <v>879</v>
      </c>
      <c r="E839" s="32">
        <f t="shared" si="23"/>
        <v>0</v>
      </c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  <c r="FE839" s="25"/>
      <c r="FF839" s="25"/>
      <c r="FG839" s="25"/>
      <c r="FH839" s="25"/>
      <c r="FI839" s="25"/>
      <c r="FJ839" s="25"/>
      <c r="FK839" s="25"/>
      <c r="FL839" s="25"/>
      <c r="FM839" s="25"/>
      <c r="FN839" s="25"/>
      <c r="FO839" s="25"/>
      <c r="FP839" s="25"/>
      <c r="FQ839" s="25"/>
      <c r="FR839" s="25"/>
      <c r="FS839" s="25"/>
      <c r="FT839" s="25"/>
      <c r="FU839" s="25"/>
      <c r="FV839" s="77"/>
      <c r="FW839" s="28"/>
      <c r="FX839" s="28"/>
      <c r="FY839" s="26"/>
      <c r="FZ839" s="26"/>
      <c r="GA839" s="26"/>
      <c r="GB839" s="26"/>
      <c r="GC839" s="26"/>
      <c r="GD839" s="26"/>
      <c r="GE839" s="26"/>
      <c r="GF839" s="26"/>
      <c r="GG839" s="26"/>
      <c r="GH839" s="26"/>
      <c r="GI839" s="26"/>
      <c r="GJ839" s="26"/>
      <c r="GK839" s="26"/>
      <c r="GL839" s="65"/>
      <c r="GM839" s="26"/>
      <c r="GN839" s="26"/>
      <c r="GO839" s="26"/>
      <c r="GP839" s="26"/>
      <c r="GQ839" s="26"/>
      <c r="GR839" s="26"/>
      <c r="GS839" s="64"/>
      <c r="GT839" s="26"/>
      <c r="GU839" s="26"/>
      <c r="GV839" s="26"/>
      <c r="GW839" s="26"/>
      <c r="GX839" s="64"/>
      <c r="GY839" s="26"/>
      <c r="GZ839" s="26"/>
      <c r="HA839" s="26"/>
      <c r="HB839" s="26"/>
      <c r="HC839" s="65"/>
      <c r="HD839" s="26"/>
      <c r="HE839" s="26"/>
      <c r="HF839" s="26">
        <v>39.89</v>
      </c>
      <c r="HG839" s="26"/>
      <c r="HH839" s="65"/>
      <c r="HI839" s="26"/>
      <c r="HJ839" s="26"/>
      <c r="HK839" s="25"/>
      <c r="HL839" s="25"/>
    </row>
    <row r="840" spans="1:220" ht="15.75" customHeight="1" x14ac:dyDescent="0.2">
      <c r="A840" s="58">
        <v>43686.975532407407</v>
      </c>
      <c r="B840" s="32">
        <v>589396</v>
      </c>
      <c r="C840" s="26">
        <v>41.45</v>
      </c>
      <c r="D840" s="86" t="s">
        <v>880</v>
      </c>
      <c r="E840" s="32">
        <f t="shared" si="23"/>
        <v>-8.9999999999996305E-2</v>
      </c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  <c r="FJ840" s="25"/>
      <c r="FK840" s="25"/>
      <c r="FL840" s="25"/>
      <c r="FM840" s="25"/>
      <c r="FN840" s="25"/>
      <c r="FO840" s="25"/>
      <c r="FP840" s="25"/>
      <c r="FQ840" s="25"/>
      <c r="FR840" s="25"/>
      <c r="FS840" s="25"/>
      <c r="FT840" s="25"/>
      <c r="FU840" s="25"/>
      <c r="FV840" s="77"/>
      <c r="FW840" s="28"/>
      <c r="FX840" s="28"/>
      <c r="FY840" s="26"/>
      <c r="FZ840" s="26"/>
      <c r="GA840" s="26"/>
      <c r="GB840" s="26"/>
      <c r="GC840" s="26"/>
      <c r="GD840" s="26"/>
      <c r="GE840" s="26"/>
      <c r="GF840" s="26"/>
      <c r="GG840" s="26"/>
      <c r="GH840" s="26"/>
      <c r="GI840" s="26"/>
      <c r="GJ840" s="26"/>
      <c r="GK840" s="26"/>
      <c r="GL840" s="65"/>
      <c r="GM840" s="26"/>
      <c r="GN840" s="26"/>
      <c r="GO840" s="26"/>
      <c r="GP840" s="26"/>
      <c r="GQ840" s="26"/>
      <c r="GR840" s="26"/>
      <c r="GS840" s="64"/>
      <c r="GT840" s="26"/>
      <c r="GU840" s="26"/>
      <c r="GV840" s="26"/>
      <c r="GW840" s="26"/>
      <c r="GX840" s="64"/>
      <c r="GY840" s="26"/>
      <c r="GZ840" s="26"/>
      <c r="HA840" s="26"/>
      <c r="HB840" s="26"/>
      <c r="HC840" s="65"/>
      <c r="HD840" s="26"/>
      <c r="HE840" s="26"/>
      <c r="HF840" s="26">
        <v>41.54</v>
      </c>
      <c r="HG840" s="26"/>
      <c r="HH840" s="65"/>
      <c r="HI840" s="26"/>
      <c r="HJ840" s="26"/>
      <c r="HK840" s="25"/>
      <c r="HL840" s="25"/>
    </row>
    <row r="841" spans="1:220" ht="15.75" customHeight="1" x14ac:dyDescent="0.2">
      <c r="A841" s="58">
        <v>43689.110462962963</v>
      </c>
      <c r="B841" s="32">
        <v>589723</v>
      </c>
      <c r="C841" s="26">
        <v>41.38</v>
      </c>
      <c r="D841" s="86" t="s">
        <v>881</v>
      </c>
      <c r="E841" s="32">
        <f t="shared" si="23"/>
        <v>0</v>
      </c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  <c r="FE841" s="25"/>
      <c r="FF841" s="25"/>
      <c r="FG841" s="25"/>
      <c r="FH841" s="25"/>
      <c r="FI841" s="25"/>
      <c r="FJ841" s="25"/>
      <c r="FK841" s="25"/>
      <c r="FL841" s="25"/>
      <c r="FM841" s="25"/>
      <c r="FN841" s="25"/>
      <c r="FO841" s="25"/>
      <c r="FP841" s="25"/>
      <c r="FQ841" s="25"/>
      <c r="FR841" s="25"/>
      <c r="FS841" s="25"/>
      <c r="FT841" s="25"/>
      <c r="FU841" s="25"/>
      <c r="FV841" s="77"/>
      <c r="FW841" s="28"/>
      <c r="FX841" s="28"/>
      <c r="FY841" s="26"/>
      <c r="FZ841" s="26"/>
      <c r="GA841" s="26"/>
      <c r="GB841" s="26"/>
      <c r="GC841" s="26"/>
      <c r="GD841" s="26"/>
      <c r="GE841" s="26"/>
      <c r="GF841" s="26"/>
      <c r="GG841" s="26"/>
      <c r="GH841" s="26"/>
      <c r="GI841" s="26"/>
      <c r="GJ841" s="26"/>
      <c r="GK841" s="26"/>
      <c r="GL841" s="65"/>
      <c r="GM841" s="26"/>
      <c r="GN841" s="26"/>
      <c r="GO841" s="26"/>
      <c r="GP841" s="26"/>
      <c r="GQ841" s="26"/>
      <c r="GR841" s="26"/>
      <c r="GS841" s="64"/>
      <c r="GT841" s="26"/>
      <c r="GU841" s="26"/>
      <c r="GV841" s="26"/>
      <c r="GW841" s="26"/>
      <c r="GX841" s="64"/>
      <c r="GY841" s="26"/>
      <c r="GZ841" s="26"/>
      <c r="HA841" s="26"/>
      <c r="HB841" s="26"/>
      <c r="HC841" s="65"/>
      <c r="HD841" s="26"/>
      <c r="HE841" s="26"/>
      <c r="HF841" s="26">
        <v>41.38</v>
      </c>
      <c r="HG841" s="26"/>
      <c r="HH841" s="65"/>
      <c r="HI841" s="26"/>
      <c r="HJ841" s="26"/>
      <c r="HK841" s="25"/>
      <c r="HL841" s="25"/>
    </row>
    <row r="842" spans="1:220" ht="15.75" customHeight="1" x14ac:dyDescent="0.2">
      <c r="A842" s="58">
        <v>43689.110462962963</v>
      </c>
      <c r="B842" s="32">
        <v>589723</v>
      </c>
      <c r="C842" s="26">
        <v>39.29</v>
      </c>
      <c r="D842" s="86" t="s">
        <v>882</v>
      </c>
      <c r="E842" s="32">
        <f t="shared" si="23"/>
        <v>0</v>
      </c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  <c r="FE842" s="25"/>
      <c r="FF842" s="25"/>
      <c r="FG842" s="25"/>
      <c r="FH842" s="25"/>
      <c r="FI842" s="25"/>
      <c r="FJ842" s="25"/>
      <c r="FK842" s="25"/>
      <c r="FL842" s="25"/>
      <c r="FM842" s="25"/>
      <c r="FN842" s="25"/>
      <c r="FO842" s="25"/>
      <c r="FP842" s="25"/>
      <c r="FQ842" s="25"/>
      <c r="FR842" s="25"/>
      <c r="FS842" s="25"/>
      <c r="FT842" s="25"/>
      <c r="FU842" s="25"/>
      <c r="FV842" s="77"/>
      <c r="FW842" s="28"/>
      <c r="FX842" s="28"/>
      <c r="FY842" s="26"/>
      <c r="FZ842" s="26"/>
      <c r="GA842" s="26"/>
      <c r="GB842" s="26"/>
      <c r="GC842" s="26"/>
      <c r="GD842" s="26"/>
      <c r="GE842" s="26"/>
      <c r="GF842" s="26"/>
      <c r="GG842" s="26"/>
      <c r="GH842" s="26"/>
      <c r="GI842" s="26"/>
      <c r="GJ842" s="26"/>
      <c r="GK842" s="26"/>
      <c r="GL842" s="65"/>
      <c r="GM842" s="26"/>
      <c r="GN842" s="26"/>
      <c r="GO842" s="26"/>
      <c r="GP842" s="26"/>
      <c r="GQ842" s="26"/>
      <c r="GR842" s="26"/>
      <c r="GS842" s="64"/>
      <c r="GT842" s="26"/>
      <c r="GU842" s="26"/>
      <c r="GV842" s="26"/>
      <c r="GW842" s="26"/>
      <c r="GX842" s="64"/>
      <c r="GY842" s="26"/>
      <c r="GZ842" s="26"/>
      <c r="HA842" s="26"/>
      <c r="HB842" s="26"/>
      <c r="HC842" s="65"/>
      <c r="HD842" s="26"/>
      <c r="HE842" s="26"/>
      <c r="HF842" s="26">
        <v>39.29</v>
      </c>
      <c r="HG842" s="26"/>
      <c r="HH842" s="65"/>
      <c r="HI842" s="26"/>
      <c r="HJ842" s="26"/>
      <c r="HK842" s="25"/>
      <c r="HL842" s="25"/>
    </row>
    <row r="843" spans="1:220" ht="15.75" customHeight="1" x14ac:dyDescent="0.2">
      <c r="A843" s="58">
        <v>43689.121388888889</v>
      </c>
      <c r="B843" s="32">
        <v>589725</v>
      </c>
      <c r="C843" s="26">
        <v>11.26</v>
      </c>
      <c r="D843" s="86" t="s">
        <v>883</v>
      </c>
      <c r="E843" s="32">
        <f t="shared" si="23"/>
        <v>0</v>
      </c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  <c r="FJ843" s="25"/>
      <c r="FK843" s="25"/>
      <c r="FL843" s="25"/>
      <c r="FM843" s="25"/>
      <c r="FN843" s="25"/>
      <c r="FO843" s="25"/>
      <c r="FP843" s="25"/>
      <c r="FQ843" s="25"/>
      <c r="FR843" s="25"/>
      <c r="FS843" s="25"/>
      <c r="FT843" s="25"/>
      <c r="FU843" s="25"/>
      <c r="FV843" s="77"/>
      <c r="FW843" s="28"/>
      <c r="FX843" s="28"/>
      <c r="FY843" s="26"/>
      <c r="FZ843" s="26"/>
      <c r="GA843" s="26"/>
      <c r="GB843" s="26"/>
      <c r="GC843" s="26"/>
      <c r="GD843" s="26"/>
      <c r="GE843" s="26"/>
      <c r="GF843" s="26"/>
      <c r="GG843" s="26"/>
      <c r="GH843" s="26"/>
      <c r="GI843" s="26"/>
      <c r="GJ843" s="26"/>
      <c r="GK843" s="26"/>
      <c r="GL843" s="65"/>
      <c r="GM843" s="26"/>
      <c r="GN843" s="26"/>
      <c r="GO843" s="26"/>
      <c r="GP843" s="26"/>
      <c r="GQ843" s="26"/>
      <c r="GR843" s="26"/>
      <c r="GS843" s="64"/>
      <c r="GT843" s="26"/>
      <c r="GU843" s="26"/>
      <c r="GV843" s="26"/>
      <c r="GW843" s="26"/>
      <c r="GX843" s="64"/>
      <c r="GY843" s="26"/>
      <c r="GZ843" s="26"/>
      <c r="HA843" s="26"/>
      <c r="HB843" s="26"/>
      <c r="HC843" s="65"/>
      <c r="HD843" s="26"/>
      <c r="HE843" s="26"/>
      <c r="HF843" s="26">
        <v>11.26</v>
      </c>
      <c r="HG843" s="26"/>
      <c r="HH843" s="65"/>
      <c r="HI843" s="26"/>
      <c r="HJ843" s="26"/>
      <c r="HK843" s="25"/>
      <c r="HL843" s="25"/>
    </row>
    <row r="844" spans="1:220" ht="15.75" customHeight="1" x14ac:dyDescent="0.2">
      <c r="A844" s="58">
        <v>43689.110462962963</v>
      </c>
      <c r="B844" s="32">
        <v>589723</v>
      </c>
      <c r="C844" s="26">
        <v>52.77</v>
      </c>
      <c r="D844" s="86" t="s">
        <v>884</v>
      </c>
      <c r="E844" s="32">
        <f t="shared" si="23"/>
        <v>0</v>
      </c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  <c r="FE844" s="25"/>
      <c r="FF844" s="25"/>
      <c r="FG844" s="25"/>
      <c r="FH844" s="25"/>
      <c r="FI844" s="25"/>
      <c r="FJ844" s="25"/>
      <c r="FK844" s="25"/>
      <c r="FL844" s="25"/>
      <c r="FM844" s="25"/>
      <c r="FN844" s="25"/>
      <c r="FO844" s="25"/>
      <c r="FP844" s="25"/>
      <c r="FQ844" s="25"/>
      <c r="FR844" s="25"/>
      <c r="FS844" s="25"/>
      <c r="FT844" s="25"/>
      <c r="FU844" s="25"/>
      <c r="FV844" s="77"/>
      <c r="FW844" s="28"/>
      <c r="FX844" s="28"/>
      <c r="FY844" s="26"/>
      <c r="FZ844" s="26"/>
      <c r="GA844" s="26"/>
      <c r="GB844" s="26"/>
      <c r="GC844" s="26"/>
      <c r="GD844" s="26"/>
      <c r="GE844" s="26"/>
      <c r="GF844" s="26"/>
      <c r="GG844" s="26"/>
      <c r="GH844" s="26"/>
      <c r="GI844" s="26"/>
      <c r="GJ844" s="26"/>
      <c r="GK844" s="26"/>
      <c r="GL844" s="65"/>
      <c r="GM844" s="26"/>
      <c r="GN844" s="26"/>
      <c r="GO844" s="26"/>
      <c r="GP844" s="26"/>
      <c r="GQ844" s="26"/>
      <c r="GR844" s="26"/>
      <c r="GS844" s="64"/>
      <c r="GT844" s="26"/>
      <c r="GU844" s="26"/>
      <c r="GV844" s="26"/>
      <c r="GW844" s="26"/>
      <c r="GX844" s="64"/>
      <c r="GY844" s="26"/>
      <c r="GZ844" s="26"/>
      <c r="HA844" s="26"/>
      <c r="HB844" s="26"/>
      <c r="HC844" s="65"/>
      <c r="HD844" s="26"/>
      <c r="HE844" s="26"/>
      <c r="HF844" s="26">
        <v>52.77</v>
      </c>
      <c r="HG844" s="26"/>
      <c r="HH844" s="65"/>
      <c r="HI844" s="26"/>
      <c r="HJ844" s="26"/>
      <c r="HK844" s="25"/>
      <c r="HL844" s="25"/>
    </row>
    <row r="845" spans="1:220" ht="15.75" customHeight="1" x14ac:dyDescent="0.2">
      <c r="A845" s="58">
        <v>43687.195011574076</v>
      </c>
      <c r="B845" s="32">
        <v>589424</v>
      </c>
      <c r="C845" s="26">
        <v>44</v>
      </c>
      <c r="D845" s="86" t="s">
        <v>885</v>
      </c>
      <c r="E845" s="32">
        <f t="shared" si="23"/>
        <v>0</v>
      </c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  <c r="FJ845" s="25"/>
      <c r="FK845" s="25"/>
      <c r="FL845" s="25"/>
      <c r="FM845" s="25"/>
      <c r="FN845" s="25"/>
      <c r="FO845" s="25"/>
      <c r="FP845" s="25"/>
      <c r="FQ845" s="25"/>
      <c r="FR845" s="25"/>
      <c r="FS845" s="25"/>
      <c r="FT845" s="25"/>
      <c r="FU845" s="25"/>
      <c r="FV845" s="77"/>
      <c r="FW845" s="28"/>
      <c r="FX845" s="28"/>
      <c r="FY845" s="26"/>
      <c r="FZ845" s="26"/>
      <c r="GA845" s="26"/>
      <c r="GB845" s="26"/>
      <c r="GC845" s="26"/>
      <c r="GD845" s="26"/>
      <c r="GE845" s="26"/>
      <c r="GF845" s="26"/>
      <c r="GG845" s="26"/>
      <c r="GH845" s="26"/>
      <c r="GI845" s="26"/>
      <c r="GJ845" s="26"/>
      <c r="GK845" s="26"/>
      <c r="GL845" s="65"/>
      <c r="GM845" s="26"/>
      <c r="GN845" s="26"/>
      <c r="GO845" s="26"/>
      <c r="GP845" s="26"/>
      <c r="GQ845" s="26"/>
      <c r="GR845" s="26"/>
      <c r="GS845" s="64"/>
      <c r="GT845" s="26"/>
      <c r="GU845" s="26"/>
      <c r="GV845" s="26"/>
      <c r="GW845" s="26"/>
      <c r="GX845" s="64"/>
      <c r="GY845" s="26"/>
      <c r="GZ845" s="26"/>
      <c r="HA845" s="26"/>
      <c r="HB845" s="26"/>
      <c r="HC845" s="65"/>
      <c r="HD845" s="26"/>
      <c r="HE845" s="26"/>
      <c r="HF845" s="26"/>
      <c r="HG845" s="26"/>
      <c r="HH845" s="65">
        <v>44</v>
      </c>
      <c r="HI845" s="26"/>
      <c r="HJ845" s="26"/>
      <c r="HK845" s="25"/>
      <c r="HL845" s="25"/>
    </row>
    <row r="846" spans="1:220" ht="15.75" customHeight="1" x14ac:dyDescent="0.2">
      <c r="A846" s="58">
        <v>43687.256562499999</v>
      </c>
      <c r="B846" s="32">
        <v>589431</v>
      </c>
      <c r="C846" s="26">
        <v>50</v>
      </c>
      <c r="D846" s="86" t="s">
        <v>886</v>
      </c>
      <c r="E846" s="32">
        <f t="shared" si="23"/>
        <v>0</v>
      </c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  <c r="FE846" s="25"/>
      <c r="FF846" s="25"/>
      <c r="FG846" s="25"/>
      <c r="FH846" s="25"/>
      <c r="FI846" s="25"/>
      <c r="FJ846" s="25"/>
      <c r="FK846" s="25"/>
      <c r="FL846" s="25"/>
      <c r="FM846" s="25"/>
      <c r="FN846" s="25"/>
      <c r="FO846" s="25"/>
      <c r="FP846" s="25"/>
      <c r="FQ846" s="25"/>
      <c r="FR846" s="25"/>
      <c r="FS846" s="25"/>
      <c r="FT846" s="25"/>
      <c r="FU846" s="25"/>
      <c r="FV846" s="77"/>
      <c r="FW846" s="28"/>
      <c r="FX846" s="28"/>
      <c r="FY846" s="26"/>
      <c r="FZ846" s="26"/>
      <c r="GA846" s="26"/>
      <c r="GB846" s="26"/>
      <c r="GC846" s="26"/>
      <c r="GD846" s="26"/>
      <c r="GE846" s="26"/>
      <c r="GF846" s="26"/>
      <c r="GG846" s="26"/>
      <c r="GH846" s="26"/>
      <c r="GI846" s="26"/>
      <c r="GJ846" s="26"/>
      <c r="GK846" s="26"/>
      <c r="GL846" s="65"/>
      <c r="GM846" s="26"/>
      <c r="GN846" s="26"/>
      <c r="GO846" s="26"/>
      <c r="GP846" s="26"/>
      <c r="GQ846" s="26"/>
      <c r="GR846" s="26"/>
      <c r="GS846" s="64"/>
      <c r="GT846" s="26"/>
      <c r="GU846" s="26"/>
      <c r="GV846" s="26"/>
      <c r="GW846" s="26"/>
      <c r="GX846" s="64"/>
      <c r="GY846" s="26"/>
      <c r="GZ846" s="26"/>
      <c r="HA846" s="26"/>
      <c r="HB846" s="26"/>
      <c r="HC846" s="65"/>
      <c r="HD846" s="26"/>
      <c r="HE846" s="26"/>
      <c r="HF846" s="26"/>
      <c r="HG846" s="26"/>
      <c r="HH846" s="65">
        <v>50</v>
      </c>
      <c r="HI846" s="26"/>
      <c r="HJ846" s="26"/>
      <c r="HK846" s="25"/>
      <c r="HL846" s="25"/>
    </row>
    <row r="847" spans="1:220" ht="15.75" customHeight="1" x14ac:dyDescent="0.2">
      <c r="A847" s="58">
        <v>43685.513067129628</v>
      </c>
      <c r="B847" s="32">
        <v>589179</v>
      </c>
      <c r="C847" s="26">
        <v>49</v>
      </c>
      <c r="D847" s="86" t="s">
        <v>887</v>
      </c>
      <c r="E847" s="32">
        <f t="shared" si="23"/>
        <v>0</v>
      </c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  <c r="FE847" s="25"/>
      <c r="FF847" s="25"/>
      <c r="FG847" s="25"/>
      <c r="FH847" s="25"/>
      <c r="FI847" s="25"/>
      <c r="FJ847" s="25"/>
      <c r="FK847" s="25"/>
      <c r="FL847" s="25"/>
      <c r="FM847" s="25"/>
      <c r="FN847" s="25"/>
      <c r="FO847" s="25"/>
      <c r="FP847" s="25"/>
      <c r="FQ847" s="25"/>
      <c r="FR847" s="25"/>
      <c r="FS847" s="25"/>
      <c r="FT847" s="25"/>
      <c r="FU847" s="25"/>
      <c r="FV847" s="77"/>
      <c r="FW847" s="28"/>
      <c r="FX847" s="28"/>
      <c r="FY847" s="26"/>
      <c r="FZ847" s="26"/>
      <c r="GA847" s="26"/>
      <c r="GB847" s="26"/>
      <c r="GC847" s="26"/>
      <c r="GD847" s="26"/>
      <c r="GE847" s="26"/>
      <c r="GF847" s="26"/>
      <c r="GG847" s="26"/>
      <c r="GH847" s="26"/>
      <c r="GI847" s="26"/>
      <c r="GJ847" s="26"/>
      <c r="GK847" s="26"/>
      <c r="GL847" s="65"/>
      <c r="GM847" s="26"/>
      <c r="GN847" s="26"/>
      <c r="GO847" s="26"/>
      <c r="GP847" s="26"/>
      <c r="GQ847" s="26"/>
      <c r="GR847" s="26"/>
      <c r="GS847" s="64"/>
      <c r="GT847" s="26"/>
      <c r="GU847" s="26"/>
      <c r="GV847" s="26"/>
      <c r="GW847" s="26"/>
      <c r="GX847" s="64"/>
      <c r="GY847" s="26"/>
      <c r="GZ847" s="26"/>
      <c r="HA847" s="26"/>
      <c r="HB847" s="26"/>
      <c r="HC847" s="65"/>
      <c r="HD847" s="26"/>
      <c r="HE847" s="26"/>
      <c r="HF847" s="26"/>
      <c r="HG847" s="26"/>
      <c r="HH847" s="65"/>
      <c r="HI847" s="26"/>
      <c r="HJ847" s="26">
        <v>49</v>
      </c>
      <c r="HK847" s="25"/>
      <c r="HL847" s="25"/>
    </row>
    <row r="848" spans="1:220" ht="15.75" customHeight="1" x14ac:dyDescent="0.2">
      <c r="A848" s="58">
        <v>43685.428356481483</v>
      </c>
      <c r="B848" s="32">
        <v>589163</v>
      </c>
      <c r="C848" s="26">
        <v>16</v>
      </c>
      <c r="D848" s="86" t="s">
        <v>888</v>
      </c>
      <c r="E848" s="32">
        <f t="shared" si="23"/>
        <v>0</v>
      </c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  <c r="FJ848" s="25"/>
      <c r="FK848" s="25"/>
      <c r="FL848" s="25"/>
      <c r="FM848" s="25"/>
      <c r="FN848" s="25"/>
      <c r="FO848" s="25"/>
      <c r="FP848" s="25"/>
      <c r="FQ848" s="25"/>
      <c r="FR848" s="25"/>
      <c r="FS848" s="25"/>
      <c r="FT848" s="25"/>
      <c r="FU848" s="25"/>
      <c r="FV848" s="77"/>
      <c r="FW848" s="28"/>
      <c r="FX848" s="28"/>
      <c r="FY848" s="26"/>
      <c r="FZ848" s="26"/>
      <c r="GA848" s="26"/>
      <c r="GB848" s="26"/>
      <c r="GC848" s="26"/>
      <c r="GD848" s="26"/>
      <c r="GE848" s="26"/>
      <c r="GF848" s="26"/>
      <c r="GG848" s="26"/>
      <c r="GH848" s="26"/>
      <c r="GI848" s="26"/>
      <c r="GJ848" s="26"/>
      <c r="GK848" s="26"/>
      <c r="GL848" s="65"/>
      <c r="GM848" s="26"/>
      <c r="GN848" s="26"/>
      <c r="GO848" s="26"/>
      <c r="GP848" s="26"/>
      <c r="GQ848" s="26"/>
      <c r="GR848" s="26"/>
      <c r="GS848" s="64"/>
      <c r="GT848" s="26"/>
      <c r="GU848" s="26"/>
      <c r="GV848" s="26"/>
      <c r="GW848" s="26"/>
      <c r="GX848" s="64"/>
      <c r="GY848" s="26"/>
      <c r="GZ848" s="26"/>
      <c r="HA848" s="26"/>
      <c r="HB848" s="26"/>
      <c r="HC848" s="65"/>
      <c r="HD848" s="26"/>
      <c r="HE848" s="26"/>
      <c r="HF848" s="26"/>
      <c r="HG848" s="26"/>
      <c r="HH848" s="65"/>
      <c r="HI848" s="26">
        <v>16</v>
      </c>
      <c r="HJ848" s="26"/>
      <c r="HK848" s="25"/>
      <c r="HL848" s="25"/>
    </row>
    <row r="849" spans="1:220" ht="15.75" customHeight="1" x14ac:dyDescent="0.2">
      <c r="A849" s="58">
        <v>43685.457361111112</v>
      </c>
      <c r="B849" s="32">
        <v>589169</v>
      </c>
      <c r="C849" s="26">
        <v>43</v>
      </c>
      <c r="D849" s="86" t="s">
        <v>889</v>
      </c>
      <c r="E849" s="32">
        <f t="shared" si="23"/>
        <v>0</v>
      </c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  <c r="FE849" s="25"/>
      <c r="FF849" s="25"/>
      <c r="FG849" s="25"/>
      <c r="FH849" s="25"/>
      <c r="FI849" s="25"/>
      <c r="FJ849" s="25"/>
      <c r="FK849" s="25"/>
      <c r="FL849" s="25"/>
      <c r="FM849" s="25"/>
      <c r="FN849" s="25"/>
      <c r="FO849" s="25"/>
      <c r="FP849" s="25"/>
      <c r="FQ849" s="25"/>
      <c r="FR849" s="25"/>
      <c r="FS849" s="25"/>
      <c r="FT849" s="25"/>
      <c r="FU849" s="25"/>
      <c r="FV849" s="77"/>
      <c r="FW849" s="28"/>
      <c r="FX849" s="28"/>
      <c r="FY849" s="26"/>
      <c r="FZ849" s="26"/>
      <c r="GA849" s="26"/>
      <c r="GB849" s="26"/>
      <c r="GC849" s="26"/>
      <c r="GD849" s="26"/>
      <c r="GE849" s="26"/>
      <c r="GF849" s="26"/>
      <c r="GG849" s="26"/>
      <c r="GH849" s="26"/>
      <c r="GI849" s="26"/>
      <c r="GJ849" s="26"/>
      <c r="GK849" s="26"/>
      <c r="GL849" s="65"/>
      <c r="GM849" s="26"/>
      <c r="GN849" s="26"/>
      <c r="GO849" s="26"/>
      <c r="GP849" s="26"/>
      <c r="GQ849" s="26"/>
      <c r="GR849" s="26"/>
      <c r="GS849" s="64"/>
      <c r="GT849" s="26"/>
      <c r="GU849" s="26"/>
      <c r="GV849" s="26"/>
      <c r="GW849" s="26"/>
      <c r="GX849" s="64"/>
      <c r="GY849" s="26"/>
      <c r="GZ849" s="26"/>
      <c r="HA849" s="26"/>
      <c r="HB849" s="26"/>
      <c r="HC849" s="65"/>
      <c r="HD849" s="26"/>
      <c r="HE849" s="26"/>
      <c r="HF849" s="26"/>
      <c r="HG849" s="26"/>
      <c r="HH849" s="65"/>
      <c r="HI849" s="26">
        <v>43</v>
      </c>
      <c r="HJ849" s="26"/>
      <c r="HK849" s="25"/>
      <c r="HL849" s="25"/>
    </row>
    <row r="850" spans="1:220" ht="15.75" customHeight="1" x14ac:dyDescent="0.2">
      <c r="A850" s="58">
        <v>43685.457361111112</v>
      </c>
      <c r="B850" s="32">
        <v>589169</v>
      </c>
      <c r="C850" s="26">
        <v>34</v>
      </c>
      <c r="D850" s="86" t="s">
        <v>890</v>
      </c>
      <c r="E850" s="32">
        <f t="shared" si="23"/>
        <v>0</v>
      </c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  <c r="FE850" s="25"/>
      <c r="FF850" s="25"/>
      <c r="FG850" s="25"/>
      <c r="FH850" s="25"/>
      <c r="FI850" s="25"/>
      <c r="FJ850" s="25"/>
      <c r="FK850" s="25"/>
      <c r="FL850" s="25"/>
      <c r="FM850" s="25"/>
      <c r="FN850" s="25"/>
      <c r="FO850" s="25"/>
      <c r="FP850" s="25"/>
      <c r="FQ850" s="25"/>
      <c r="FR850" s="25"/>
      <c r="FS850" s="25"/>
      <c r="FT850" s="25"/>
      <c r="FU850" s="25"/>
      <c r="FV850" s="77"/>
      <c r="FW850" s="28"/>
      <c r="FX850" s="28"/>
      <c r="FY850" s="26"/>
      <c r="FZ850" s="26"/>
      <c r="GA850" s="26"/>
      <c r="GB850" s="26"/>
      <c r="GC850" s="26"/>
      <c r="GD850" s="26"/>
      <c r="GE850" s="26"/>
      <c r="GF850" s="26"/>
      <c r="GG850" s="26"/>
      <c r="GH850" s="26"/>
      <c r="GI850" s="26"/>
      <c r="GJ850" s="26"/>
      <c r="GK850" s="26"/>
      <c r="GL850" s="65"/>
      <c r="GM850" s="26"/>
      <c r="GN850" s="26"/>
      <c r="GO850" s="26"/>
      <c r="GP850" s="26"/>
      <c r="GQ850" s="26"/>
      <c r="GR850" s="26"/>
      <c r="GS850" s="64"/>
      <c r="GT850" s="26"/>
      <c r="GU850" s="26"/>
      <c r="GV850" s="26"/>
      <c r="GW850" s="26"/>
      <c r="GX850" s="64"/>
      <c r="GY850" s="26"/>
      <c r="GZ850" s="26"/>
      <c r="HA850" s="26"/>
      <c r="HB850" s="26"/>
      <c r="HC850" s="65"/>
      <c r="HD850" s="26"/>
      <c r="HE850" s="26"/>
      <c r="HF850" s="26"/>
      <c r="HG850" s="26"/>
      <c r="HH850" s="65"/>
      <c r="HI850" s="26">
        <v>34</v>
      </c>
      <c r="HJ850" s="26"/>
      <c r="HK850" s="25"/>
      <c r="HL850" s="25"/>
    </row>
    <row r="851" spans="1:220" ht="15.75" customHeight="1" x14ac:dyDescent="0.2">
      <c r="A851" s="58">
        <v>43685.428356481483</v>
      </c>
      <c r="B851" s="32">
        <v>589163</v>
      </c>
      <c r="C851" s="26">
        <v>27</v>
      </c>
      <c r="D851" s="86" t="s">
        <v>891</v>
      </c>
      <c r="E851" s="32">
        <f t="shared" si="23"/>
        <v>0</v>
      </c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  <c r="FE851" s="25"/>
      <c r="FF851" s="25"/>
      <c r="FG851" s="25"/>
      <c r="FH851" s="25"/>
      <c r="FI851" s="25"/>
      <c r="FJ851" s="25"/>
      <c r="FK851" s="25"/>
      <c r="FL851" s="25"/>
      <c r="FM851" s="25"/>
      <c r="FN851" s="25"/>
      <c r="FO851" s="25"/>
      <c r="FP851" s="25"/>
      <c r="FQ851" s="25"/>
      <c r="FR851" s="25"/>
      <c r="FS851" s="25"/>
      <c r="FT851" s="25"/>
      <c r="FU851" s="25"/>
      <c r="FV851" s="77"/>
      <c r="FW851" s="28"/>
      <c r="FX851" s="28"/>
      <c r="FY851" s="26"/>
      <c r="FZ851" s="26"/>
      <c r="GA851" s="26"/>
      <c r="GB851" s="26"/>
      <c r="GC851" s="26"/>
      <c r="GD851" s="26"/>
      <c r="GE851" s="26"/>
      <c r="GF851" s="26"/>
      <c r="GG851" s="26"/>
      <c r="GH851" s="26"/>
      <c r="GI851" s="26"/>
      <c r="GJ851" s="26"/>
      <c r="GK851" s="26"/>
      <c r="GL851" s="65"/>
      <c r="GM851" s="26"/>
      <c r="GN851" s="26"/>
      <c r="GO851" s="26"/>
      <c r="GP851" s="26"/>
      <c r="GQ851" s="26"/>
      <c r="GR851" s="26"/>
      <c r="GS851" s="64"/>
      <c r="GT851" s="26"/>
      <c r="GU851" s="26"/>
      <c r="GV851" s="26"/>
      <c r="GW851" s="26"/>
      <c r="GX851" s="64"/>
      <c r="GY851" s="26"/>
      <c r="GZ851" s="26"/>
      <c r="HA851" s="26"/>
      <c r="HB851" s="26"/>
      <c r="HC851" s="65"/>
      <c r="HD851" s="26"/>
      <c r="HE851" s="26"/>
      <c r="HF851" s="26"/>
      <c r="HG851" s="26"/>
      <c r="HH851" s="65"/>
      <c r="HI851" s="26">
        <v>27</v>
      </c>
      <c r="HJ851" s="26"/>
      <c r="HK851" s="25"/>
      <c r="HL851" s="25"/>
    </row>
    <row r="852" spans="1:220" ht="15.75" customHeight="1" x14ac:dyDescent="0.2">
      <c r="A852" s="58">
        <v>43685.717800925922</v>
      </c>
      <c r="B852" s="32">
        <v>589207</v>
      </c>
      <c r="C852" s="26">
        <v>86.1</v>
      </c>
      <c r="D852" s="86" t="s">
        <v>892</v>
      </c>
      <c r="E852" s="32">
        <f t="shared" si="23"/>
        <v>0</v>
      </c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  <c r="FE852" s="25"/>
      <c r="FF852" s="25"/>
      <c r="FG852" s="25"/>
      <c r="FH852" s="25"/>
      <c r="FI852" s="25"/>
      <c r="FJ852" s="25"/>
      <c r="FK852" s="25"/>
      <c r="FL852" s="25"/>
      <c r="FM852" s="25"/>
      <c r="FN852" s="25"/>
      <c r="FO852" s="25"/>
      <c r="FP852" s="25"/>
      <c r="FQ852" s="25"/>
      <c r="FR852" s="25"/>
      <c r="FS852" s="25"/>
      <c r="FT852" s="25"/>
      <c r="FU852" s="25"/>
      <c r="FV852" s="77"/>
      <c r="FW852" s="28"/>
      <c r="FX852" s="28"/>
      <c r="FY852" s="26"/>
      <c r="FZ852" s="26"/>
      <c r="GA852" s="26"/>
      <c r="GB852" s="26"/>
      <c r="GC852" s="26"/>
      <c r="GD852" s="26"/>
      <c r="GE852" s="26"/>
      <c r="GF852" s="26"/>
      <c r="GG852" s="26"/>
      <c r="GH852" s="26"/>
      <c r="GI852" s="26"/>
      <c r="GJ852" s="26"/>
      <c r="GK852" s="26"/>
      <c r="GL852" s="65"/>
      <c r="GM852" s="26"/>
      <c r="GN852" s="26"/>
      <c r="GO852" s="26"/>
      <c r="GP852" s="26"/>
      <c r="GQ852" s="26"/>
      <c r="GR852" s="26"/>
      <c r="GS852" s="64"/>
      <c r="GT852" s="26"/>
      <c r="GU852" s="26"/>
      <c r="GV852" s="26"/>
      <c r="GW852" s="26"/>
      <c r="GX852" s="64"/>
      <c r="GY852" s="26"/>
      <c r="GZ852" s="26"/>
      <c r="HA852" s="26"/>
      <c r="HB852" s="26"/>
      <c r="HC852" s="65"/>
      <c r="HD852" s="26"/>
      <c r="HE852" s="26"/>
      <c r="HF852" s="26"/>
      <c r="HG852" s="26"/>
      <c r="HH852" s="65"/>
      <c r="HI852" s="26">
        <v>86.1</v>
      </c>
      <c r="HJ852" s="26"/>
      <c r="HK852" s="25"/>
      <c r="HL852" s="25"/>
    </row>
    <row r="853" spans="1:220" ht="15.75" customHeight="1" x14ac:dyDescent="0.2">
      <c r="A853" s="58">
        <v>43686.374606481484</v>
      </c>
      <c r="B853" s="32">
        <v>589303</v>
      </c>
      <c r="C853" s="26">
        <v>100.5</v>
      </c>
      <c r="D853" s="86" t="s">
        <v>893</v>
      </c>
      <c r="E853" s="32">
        <f t="shared" si="23"/>
        <v>0</v>
      </c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  <c r="FE853" s="25"/>
      <c r="FF853" s="25"/>
      <c r="FG853" s="25"/>
      <c r="FH853" s="25"/>
      <c r="FI853" s="25"/>
      <c r="FJ853" s="25"/>
      <c r="FK853" s="25"/>
      <c r="FL853" s="25"/>
      <c r="FM853" s="25"/>
      <c r="FN853" s="25"/>
      <c r="FO853" s="25"/>
      <c r="FP853" s="25"/>
      <c r="FQ853" s="25"/>
      <c r="FR853" s="25"/>
      <c r="FS853" s="25"/>
      <c r="FT853" s="25"/>
      <c r="FU853" s="25"/>
      <c r="FV853" s="77"/>
      <c r="FW853" s="28"/>
      <c r="FX853" s="28"/>
      <c r="FY853" s="26"/>
      <c r="FZ853" s="26"/>
      <c r="GA853" s="26"/>
      <c r="GB853" s="26"/>
      <c r="GC853" s="26"/>
      <c r="GD853" s="26"/>
      <c r="GE853" s="26"/>
      <c r="GF853" s="26"/>
      <c r="GG853" s="26"/>
      <c r="GH853" s="26"/>
      <c r="GI853" s="26"/>
      <c r="GJ853" s="26"/>
      <c r="GK853" s="26"/>
      <c r="GL853" s="65"/>
      <c r="GM853" s="26"/>
      <c r="GN853" s="26"/>
      <c r="GO853" s="26"/>
      <c r="GP853" s="26"/>
      <c r="GQ853" s="26"/>
      <c r="GR853" s="26"/>
      <c r="GS853" s="64"/>
      <c r="GT853" s="26"/>
      <c r="GU853" s="26"/>
      <c r="GV853" s="26"/>
      <c r="GW853" s="26"/>
      <c r="GX853" s="64"/>
      <c r="GY853" s="26"/>
      <c r="GZ853" s="26"/>
      <c r="HA853" s="26"/>
      <c r="HB853" s="26"/>
      <c r="HC853" s="65"/>
      <c r="HD853" s="26"/>
      <c r="HE853" s="26"/>
      <c r="HF853" s="26"/>
      <c r="HG853" s="26"/>
      <c r="HH853" s="65"/>
      <c r="HI853" s="26"/>
      <c r="HJ853" s="26">
        <v>100.5</v>
      </c>
      <c r="HK853" s="25"/>
      <c r="HL853" s="25"/>
    </row>
    <row r="854" spans="1:220" ht="15.75" customHeight="1" x14ac:dyDescent="0.2">
      <c r="A854" s="58">
        <v>43686.397280092591</v>
      </c>
      <c r="B854" s="32">
        <v>589312</v>
      </c>
      <c r="C854" s="26">
        <v>5</v>
      </c>
      <c r="D854" s="86" t="s">
        <v>894</v>
      </c>
      <c r="E854" s="32">
        <f t="shared" si="23"/>
        <v>0</v>
      </c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  <c r="FE854" s="25"/>
      <c r="FF854" s="25"/>
      <c r="FG854" s="25"/>
      <c r="FH854" s="25"/>
      <c r="FI854" s="25"/>
      <c r="FJ854" s="25"/>
      <c r="FK854" s="25"/>
      <c r="FL854" s="25"/>
      <c r="FM854" s="25"/>
      <c r="FN854" s="25"/>
      <c r="FO854" s="25"/>
      <c r="FP854" s="25"/>
      <c r="FQ854" s="25"/>
      <c r="FR854" s="25"/>
      <c r="FS854" s="25"/>
      <c r="FT854" s="25"/>
      <c r="FU854" s="25"/>
      <c r="FV854" s="77"/>
      <c r="FW854" s="28"/>
      <c r="FX854" s="28"/>
      <c r="FY854" s="26"/>
      <c r="FZ854" s="26"/>
      <c r="GA854" s="26"/>
      <c r="GB854" s="26"/>
      <c r="GC854" s="26"/>
      <c r="GD854" s="26"/>
      <c r="GE854" s="26"/>
      <c r="GF854" s="26"/>
      <c r="GG854" s="26"/>
      <c r="GH854" s="26"/>
      <c r="GI854" s="26"/>
      <c r="GJ854" s="26"/>
      <c r="GK854" s="26"/>
      <c r="GL854" s="65"/>
      <c r="GM854" s="26"/>
      <c r="GN854" s="26"/>
      <c r="GO854" s="26"/>
      <c r="GP854" s="26"/>
      <c r="GQ854" s="26"/>
      <c r="GR854" s="26"/>
      <c r="GS854" s="64"/>
      <c r="GT854" s="26"/>
      <c r="GU854" s="26"/>
      <c r="GV854" s="26"/>
      <c r="GW854" s="26"/>
      <c r="GX854" s="64"/>
      <c r="GY854" s="26"/>
      <c r="GZ854" s="26"/>
      <c r="HA854" s="26"/>
      <c r="HB854" s="26"/>
      <c r="HC854" s="65"/>
      <c r="HD854" s="26"/>
      <c r="HE854" s="26"/>
      <c r="HF854" s="26"/>
      <c r="HG854" s="26"/>
      <c r="HH854" s="65"/>
      <c r="HI854" s="26">
        <v>5</v>
      </c>
      <c r="HJ854" s="26"/>
      <c r="HK854" s="25"/>
      <c r="HL854" s="25"/>
    </row>
    <row r="855" spans="1:220" ht="15.75" customHeight="1" x14ac:dyDescent="0.2">
      <c r="A855" s="58">
        <v>43686.400960648149</v>
      </c>
      <c r="B855" s="32">
        <v>589313</v>
      </c>
      <c r="C855" s="26">
        <v>10</v>
      </c>
      <c r="D855" s="86" t="s">
        <v>895</v>
      </c>
      <c r="E855" s="32">
        <f t="shared" si="23"/>
        <v>0</v>
      </c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  <c r="FE855" s="25"/>
      <c r="FF855" s="25"/>
      <c r="FG855" s="25"/>
      <c r="FH855" s="25"/>
      <c r="FI855" s="25"/>
      <c r="FJ855" s="25"/>
      <c r="FK855" s="25"/>
      <c r="FL855" s="25"/>
      <c r="FM855" s="25"/>
      <c r="FN855" s="25"/>
      <c r="FO855" s="25"/>
      <c r="FP855" s="25"/>
      <c r="FQ855" s="25"/>
      <c r="FR855" s="25"/>
      <c r="FS855" s="25"/>
      <c r="FT855" s="25"/>
      <c r="FU855" s="25"/>
      <c r="FV855" s="77"/>
      <c r="FW855" s="28"/>
      <c r="FX855" s="28"/>
      <c r="FY855" s="26"/>
      <c r="FZ855" s="26"/>
      <c r="GA855" s="26"/>
      <c r="GB855" s="26"/>
      <c r="GC855" s="26"/>
      <c r="GD855" s="26"/>
      <c r="GE855" s="26"/>
      <c r="GF855" s="26"/>
      <c r="GG855" s="26"/>
      <c r="GH855" s="26"/>
      <c r="GI855" s="26"/>
      <c r="GJ855" s="26"/>
      <c r="GK855" s="26"/>
      <c r="GL855" s="65"/>
      <c r="GM855" s="26"/>
      <c r="GN855" s="26"/>
      <c r="GO855" s="26"/>
      <c r="GP855" s="26"/>
      <c r="GQ855" s="26"/>
      <c r="GR855" s="26"/>
      <c r="GS855" s="64"/>
      <c r="GT855" s="26"/>
      <c r="GU855" s="26"/>
      <c r="GV855" s="26"/>
      <c r="GW855" s="26"/>
      <c r="GX855" s="64"/>
      <c r="GY855" s="26"/>
      <c r="GZ855" s="26"/>
      <c r="HA855" s="26"/>
      <c r="HB855" s="26"/>
      <c r="HC855" s="65"/>
      <c r="HD855" s="26"/>
      <c r="HE855" s="26"/>
      <c r="HF855" s="26"/>
      <c r="HG855" s="26"/>
      <c r="HH855" s="65"/>
      <c r="HI855" s="26">
        <v>10</v>
      </c>
      <c r="HJ855" s="26"/>
      <c r="HK855" s="25"/>
      <c r="HL855" s="25"/>
    </row>
    <row r="856" spans="1:220" ht="15.75" customHeight="1" x14ac:dyDescent="0.2">
      <c r="A856" s="58">
        <v>43686.400960648149</v>
      </c>
      <c r="B856" s="32">
        <v>589313</v>
      </c>
      <c r="C856" s="26">
        <v>90</v>
      </c>
      <c r="D856" s="86" t="s">
        <v>896</v>
      </c>
      <c r="E856" s="32">
        <f t="shared" si="23"/>
        <v>0</v>
      </c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  <c r="FJ856" s="25"/>
      <c r="FK856" s="25"/>
      <c r="FL856" s="25"/>
      <c r="FM856" s="25"/>
      <c r="FN856" s="25"/>
      <c r="FO856" s="25"/>
      <c r="FP856" s="25"/>
      <c r="FQ856" s="25"/>
      <c r="FR856" s="25"/>
      <c r="FS856" s="25"/>
      <c r="FT856" s="25"/>
      <c r="FU856" s="25"/>
      <c r="FV856" s="77"/>
      <c r="FW856" s="28"/>
      <c r="FX856" s="28"/>
      <c r="FY856" s="26"/>
      <c r="FZ856" s="26"/>
      <c r="GA856" s="26"/>
      <c r="GB856" s="26"/>
      <c r="GC856" s="26"/>
      <c r="GD856" s="26"/>
      <c r="GE856" s="26"/>
      <c r="GF856" s="26"/>
      <c r="GG856" s="26"/>
      <c r="GH856" s="26"/>
      <c r="GI856" s="26"/>
      <c r="GJ856" s="26"/>
      <c r="GK856" s="26"/>
      <c r="GL856" s="65"/>
      <c r="GM856" s="26"/>
      <c r="GN856" s="26"/>
      <c r="GO856" s="26"/>
      <c r="GP856" s="26"/>
      <c r="GQ856" s="26"/>
      <c r="GR856" s="26"/>
      <c r="GS856" s="64"/>
      <c r="GT856" s="26"/>
      <c r="GU856" s="26"/>
      <c r="GV856" s="26"/>
      <c r="GW856" s="26"/>
      <c r="GX856" s="64"/>
      <c r="GY856" s="26"/>
      <c r="GZ856" s="26"/>
      <c r="HA856" s="26"/>
      <c r="HB856" s="26"/>
      <c r="HC856" s="65"/>
      <c r="HD856" s="26"/>
      <c r="HE856" s="26"/>
      <c r="HF856" s="26"/>
      <c r="HG856" s="26"/>
      <c r="HH856" s="65"/>
      <c r="HI856" s="26">
        <v>90</v>
      </c>
      <c r="HJ856" s="26"/>
      <c r="HK856" s="25"/>
      <c r="HL856" s="25"/>
    </row>
    <row r="857" spans="1:220" ht="15.75" customHeight="1" x14ac:dyDescent="0.2">
      <c r="A857" s="58">
        <v>43686.413437499999</v>
      </c>
      <c r="B857" s="32">
        <v>589315</v>
      </c>
      <c r="C857" s="26">
        <v>100.36</v>
      </c>
      <c r="D857" s="86" t="s">
        <v>897</v>
      </c>
      <c r="E857" s="32">
        <f t="shared" si="23"/>
        <v>0</v>
      </c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  <c r="FJ857" s="25"/>
      <c r="FK857" s="25"/>
      <c r="FL857" s="25"/>
      <c r="FM857" s="25"/>
      <c r="FN857" s="25"/>
      <c r="FO857" s="25"/>
      <c r="FP857" s="25"/>
      <c r="FQ857" s="25"/>
      <c r="FR857" s="25"/>
      <c r="FS857" s="25"/>
      <c r="FT857" s="25"/>
      <c r="FU857" s="25"/>
      <c r="FV857" s="77"/>
      <c r="FW857" s="28"/>
      <c r="FX857" s="28"/>
      <c r="FY857" s="26"/>
      <c r="FZ857" s="26"/>
      <c r="GA857" s="26"/>
      <c r="GB857" s="26"/>
      <c r="GC857" s="26"/>
      <c r="GD857" s="26"/>
      <c r="GE857" s="26"/>
      <c r="GF857" s="26"/>
      <c r="GG857" s="26"/>
      <c r="GH857" s="26"/>
      <c r="GI857" s="26"/>
      <c r="GJ857" s="26"/>
      <c r="GK857" s="26"/>
      <c r="GL857" s="65"/>
      <c r="GM857" s="26"/>
      <c r="GN857" s="26"/>
      <c r="GO857" s="26"/>
      <c r="GP857" s="26"/>
      <c r="GQ857" s="26"/>
      <c r="GR857" s="26"/>
      <c r="GS857" s="64"/>
      <c r="GT857" s="26"/>
      <c r="GU857" s="26"/>
      <c r="GV857" s="26"/>
      <c r="GW857" s="26"/>
      <c r="GX857" s="64"/>
      <c r="GY857" s="26"/>
      <c r="GZ857" s="26"/>
      <c r="HA857" s="26"/>
      <c r="HB857" s="26"/>
      <c r="HC857" s="65"/>
      <c r="HD857" s="26"/>
      <c r="HE857" s="26"/>
      <c r="HF857" s="26"/>
      <c r="HG857" s="26"/>
      <c r="HH857" s="65"/>
      <c r="HI857" s="26">
        <v>100.36</v>
      </c>
      <c r="HJ857" s="26"/>
      <c r="HK857" s="25"/>
      <c r="HL857" s="25"/>
    </row>
    <row r="858" spans="1:220" ht="15.75" customHeight="1" x14ac:dyDescent="0.2">
      <c r="A858" s="58">
        <v>43686.424571759257</v>
      </c>
      <c r="B858" s="32">
        <v>589317</v>
      </c>
      <c r="C858" s="26">
        <v>40.25</v>
      </c>
      <c r="D858" s="86" t="s">
        <v>898</v>
      </c>
      <c r="E858" s="32">
        <f t="shared" si="23"/>
        <v>0</v>
      </c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  <c r="FE858" s="25"/>
      <c r="FF858" s="25"/>
      <c r="FG858" s="25"/>
      <c r="FH858" s="25"/>
      <c r="FI858" s="25"/>
      <c r="FJ858" s="25"/>
      <c r="FK858" s="25"/>
      <c r="FL858" s="25"/>
      <c r="FM858" s="25"/>
      <c r="FN858" s="25"/>
      <c r="FO858" s="25"/>
      <c r="FP858" s="25"/>
      <c r="FQ858" s="25"/>
      <c r="FR858" s="25"/>
      <c r="FS858" s="25"/>
      <c r="FT858" s="25"/>
      <c r="FU858" s="25"/>
      <c r="FV858" s="77"/>
      <c r="FW858" s="28"/>
      <c r="FX858" s="28"/>
      <c r="FY858" s="26"/>
      <c r="FZ858" s="26"/>
      <c r="GA858" s="26"/>
      <c r="GB858" s="26"/>
      <c r="GC858" s="26"/>
      <c r="GD858" s="26"/>
      <c r="GE858" s="26"/>
      <c r="GF858" s="26"/>
      <c r="GG858" s="26"/>
      <c r="GH858" s="26"/>
      <c r="GI858" s="26"/>
      <c r="GJ858" s="26"/>
      <c r="GK858" s="26"/>
      <c r="GL858" s="65"/>
      <c r="GM858" s="26"/>
      <c r="GN858" s="26"/>
      <c r="GO858" s="26"/>
      <c r="GP858" s="26"/>
      <c r="GQ858" s="26"/>
      <c r="GR858" s="26"/>
      <c r="GS858" s="64"/>
      <c r="GT858" s="26"/>
      <c r="GU858" s="26"/>
      <c r="GV858" s="26"/>
      <c r="GW858" s="26"/>
      <c r="GX858" s="64"/>
      <c r="GY858" s="26"/>
      <c r="GZ858" s="26"/>
      <c r="HA858" s="26"/>
      <c r="HB858" s="26"/>
      <c r="HC858" s="65"/>
      <c r="HD858" s="26"/>
      <c r="HE858" s="26"/>
      <c r="HF858" s="26"/>
      <c r="HG858" s="26"/>
      <c r="HH858" s="65"/>
      <c r="HI858" s="26">
        <v>40.25</v>
      </c>
      <c r="HJ858" s="26"/>
      <c r="HK858" s="25"/>
      <c r="HL858" s="25"/>
    </row>
    <row r="859" spans="1:220" ht="15.75" customHeight="1" x14ac:dyDescent="0.2">
      <c r="A859" s="58">
        <v>43686.413437499999</v>
      </c>
      <c r="B859" s="32">
        <v>589315</v>
      </c>
      <c r="C859" s="26">
        <v>95</v>
      </c>
      <c r="D859" s="86" t="s">
        <v>899</v>
      </c>
      <c r="E859" s="32">
        <f t="shared" si="23"/>
        <v>0</v>
      </c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  <c r="FJ859" s="25"/>
      <c r="FK859" s="25"/>
      <c r="FL859" s="25"/>
      <c r="FM859" s="25"/>
      <c r="FN859" s="25"/>
      <c r="FO859" s="25"/>
      <c r="FP859" s="25"/>
      <c r="FQ859" s="25"/>
      <c r="FR859" s="25"/>
      <c r="FS859" s="25"/>
      <c r="FT859" s="25"/>
      <c r="FU859" s="25"/>
      <c r="FV859" s="77"/>
      <c r="FW859" s="28"/>
      <c r="FX859" s="28"/>
      <c r="FY859" s="26"/>
      <c r="FZ859" s="26"/>
      <c r="GA859" s="26"/>
      <c r="GB859" s="26"/>
      <c r="GC859" s="26"/>
      <c r="GD859" s="26"/>
      <c r="GE859" s="26"/>
      <c r="GF859" s="26"/>
      <c r="GG859" s="26"/>
      <c r="GH859" s="26"/>
      <c r="GI859" s="26"/>
      <c r="GJ859" s="26"/>
      <c r="GK859" s="26"/>
      <c r="GL859" s="65"/>
      <c r="GM859" s="26"/>
      <c r="GN859" s="26"/>
      <c r="GO859" s="26"/>
      <c r="GP859" s="26"/>
      <c r="GQ859" s="26"/>
      <c r="GR859" s="26"/>
      <c r="GS859" s="64"/>
      <c r="GT859" s="26"/>
      <c r="GU859" s="26"/>
      <c r="GV859" s="26"/>
      <c r="GW859" s="26"/>
      <c r="GX859" s="64"/>
      <c r="GY859" s="26"/>
      <c r="GZ859" s="26"/>
      <c r="HA859" s="26"/>
      <c r="HB859" s="26"/>
      <c r="HC859" s="65"/>
      <c r="HD859" s="26"/>
      <c r="HE859" s="26"/>
      <c r="HF859" s="26"/>
      <c r="HG859" s="26"/>
      <c r="HH859" s="65"/>
      <c r="HI859" s="26">
        <v>95</v>
      </c>
      <c r="HJ859" s="26"/>
      <c r="HK859" s="25"/>
      <c r="HL859" s="25"/>
    </row>
    <row r="860" spans="1:220" ht="15.75" customHeight="1" x14ac:dyDescent="0.2">
      <c r="A860" s="58">
        <v>43687.195011574076</v>
      </c>
      <c r="B860" s="32">
        <v>589424</v>
      </c>
      <c r="C860" s="26">
        <v>50</v>
      </c>
      <c r="D860" s="86" t="s">
        <v>900</v>
      </c>
      <c r="E860" s="32">
        <f t="shared" si="23"/>
        <v>0</v>
      </c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  <c r="FJ860" s="25"/>
      <c r="FK860" s="25"/>
      <c r="FL860" s="25"/>
      <c r="FM860" s="25"/>
      <c r="FN860" s="25"/>
      <c r="FO860" s="25"/>
      <c r="FP860" s="25"/>
      <c r="FQ860" s="25"/>
      <c r="FR860" s="25"/>
      <c r="FS860" s="25"/>
      <c r="FT860" s="25"/>
      <c r="FU860" s="25"/>
      <c r="FV860" s="77"/>
      <c r="FW860" s="28"/>
      <c r="FX860" s="28"/>
      <c r="FY860" s="26"/>
      <c r="FZ860" s="26"/>
      <c r="GA860" s="26"/>
      <c r="GB860" s="26"/>
      <c r="GC860" s="26"/>
      <c r="GD860" s="26"/>
      <c r="GE860" s="26"/>
      <c r="GF860" s="26"/>
      <c r="GG860" s="26"/>
      <c r="GH860" s="26"/>
      <c r="GI860" s="26"/>
      <c r="GJ860" s="26"/>
      <c r="GK860" s="26"/>
      <c r="GL860" s="65"/>
      <c r="GM860" s="26"/>
      <c r="GN860" s="26"/>
      <c r="GO860" s="26"/>
      <c r="GP860" s="26"/>
      <c r="GQ860" s="26"/>
      <c r="GR860" s="26"/>
      <c r="GS860" s="64"/>
      <c r="GT860" s="26"/>
      <c r="GU860" s="26"/>
      <c r="GV860" s="26"/>
      <c r="GW860" s="26"/>
      <c r="GX860" s="64"/>
      <c r="GY860" s="26"/>
      <c r="GZ860" s="26"/>
      <c r="HA860" s="26"/>
      <c r="HB860" s="26"/>
      <c r="HC860" s="65"/>
      <c r="HD860" s="26"/>
      <c r="HE860" s="26"/>
      <c r="HF860" s="26"/>
      <c r="HG860" s="26"/>
      <c r="HH860" s="65">
        <v>50</v>
      </c>
      <c r="HI860" s="26"/>
      <c r="HJ860" s="26"/>
      <c r="HK860" s="25"/>
      <c r="HL860" s="25"/>
    </row>
    <row r="861" spans="1:220" ht="15.75" customHeight="1" x14ac:dyDescent="0.2">
      <c r="A861" s="58">
        <v>43687.187488425923</v>
      </c>
      <c r="B861" s="32">
        <v>589423</v>
      </c>
      <c r="C861" s="26">
        <v>43</v>
      </c>
      <c r="D861" s="86" t="s">
        <v>901</v>
      </c>
      <c r="E861" s="32">
        <f t="shared" si="23"/>
        <v>0</v>
      </c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  <c r="FE861" s="25"/>
      <c r="FF861" s="25"/>
      <c r="FG861" s="25"/>
      <c r="FH861" s="25"/>
      <c r="FI861" s="25"/>
      <c r="FJ861" s="25"/>
      <c r="FK861" s="25"/>
      <c r="FL861" s="25"/>
      <c r="FM861" s="25"/>
      <c r="FN861" s="25"/>
      <c r="FO861" s="25"/>
      <c r="FP861" s="25"/>
      <c r="FQ861" s="25"/>
      <c r="FR861" s="25"/>
      <c r="FS861" s="25"/>
      <c r="FT861" s="25"/>
      <c r="FU861" s="25"/>
      <c r="FV861" s="77"/>
      <c r="FW861" s="28"/>
      <c r="FX861" s="28"/>
      <c r="FY861" s="26"/>
      <c r="FZ861" s="26"/>
      <c r="GA861" s="26"/>
      <c r="GB861" s="26"/>
      <c r="GC861" s="26"/>
      <c r="GD861" s="26"/>
      <c r="GE861" s="26"/>
      <c r="GF861" s="26"/>
      <c r="GG861" s="26"/>
      <c r="GH861" s="26"/>
      <c r="GI861" s="26"/>
      <c r="GJ861" s="26"/>
      <c r="GK861" s="26"/>
      <c r="GL861" s="65"/>
      <c r="GM861" s="26"/>
      <c r="GN861" s="26"/>
      <c r="GO861" s="26"/>
      <c r="GP861" s="26"/>
      <c r="GQ861" s="26"/>
      <c r="GR861" s="26"/>
      <c r="GS861" s="64"/>
      <c r="GT861" s="26"/>
      <c r="GU861" s="26"/>
      <c r="GV861" s="26"/>
      <c r="GW861" s="26"/>
      <c r="GX861" s="64"/>
      <c r="GY861" s="26"/>
      <c r="GZ861" s="26"/>
      <c r="HA861" s="26"/>
      <c r="HB861" s="26"/>
      <c r="HC861" s="65"/>
      <c r="HD861" s="26"/>
      <c r="HE861" s="26"/>
      <c r="HF861" s="26"/>
      <c r="HG861" s="26"/>
      <c r="HH861" s="65">
        <v>43</v>
      </c>
      <c r="HI861" s="26"/>
      <c r="HJ861" s="26"/>
      <c r="HK861" s="25"/>
      <c r="HL861" s="25"/>
    </row>
    <row r="862" spans="1:220" ht="15.75" customHeight="1" x14ac:dyDescent="0.2">
      <c r="A862" s="58">
        <v>43687.281469907408</v>
      </c>
      <c r="B862" s="32">
        <v>589433</v>
      </c>
      <c r="C862" s="26">
        <v>15</v>
      </c>
      <c r="D862" s="86" t="s">
        <v>902</v>
      </c>
      <c r="E862" s="32">
        <f t="shared" si="23"/>
        <v>0</v>
      </c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  <c r="FE862" s="25"/>
      <c r="FF862" s="25"/>
      <c r="FG862" s="25"/>
      <c r="FH862" s="25"/>
      <c r="FI862" s="25"/>
      <c r="FJ862" s="25"/>
      <c r="FK862" s="25"/>
      <c r="FL862" s="25"/>
      <c r="FM862" s="25"/>
      <c r="FN862" s="25"/>
      <c r="FO862" s="25"/>
      <c r="FP862" s="25"/>
      <c r="FQ862" s="25"/>
      <c r="FR862" s="25"/>
      <c r="FS862" s="25"/>
      <c r="FT862" s="25"/>
      <c r="FU862" s="25"/>
      <c r="FV862" s="77"/>
      <c r="FW862" s="28"/>
      <c r="FX862" s="28"/>
      <c r="FY862" s="26"/>
      <c r="FZ862" s="26"/>
      <c r="GA862" s="26"/>
      <c r="GB862" s="26"/>
      <c r="GC862" s="26"/>
      <c r="GD862" s="26"/>
      <c r="GE862" s="26"/>
      <c r="GF862" s="26"/>
      <c r="GG862" s="26"/>
      <c r="GH862" s="26"/>
      <c r="GI862" s="26"/>
      <c r="GJ862" s="26"/>
      <c r="GK862" s="26"/>
      <c r="GL862" s="65"/>
      <c r="GM862" s="26"/>
      <c r="GN862" s="26"/>
      <c r="GO862" s="26"/>
      <c r="GP862" s="26"/>
      <c r="GQ862" s="26"/>
      <c r="GR862" s="26"/>
      <c r="GS862" s="64"/>
      <c r="GT862" s="26"/>
      <c r="GU862" s="26"/>
      <c r="GV862" s="26"/>
      <c r="GW862" s="26"/>
      <c r="GX862" s="64"/>
      <c r="GY862" s="26"/>
      <c r="GZ862" s="26"/>
      <c r="HA862" s="26"/>
      <c r="HB862" s="26"/>
      <c r="HC862" s="65"/>
      <c r="HD862" s="26"/>
      <c r="HE862" s="26"/>
      <c r="HF862" s="26"/>
      <c r="HG862" s="26"/>
      <c r="HH862" s="65">
        <v>15</v>
      </c>
      <c r="HI862" s="26"/>
      <c r="HJ862" s="26"/>
      <c r="HK862" s="25"/>
      <c r="HL862" s="25"/>
    </row>
    <row r="863" spans="1:220" ht="15.75" customHeight="1" x14ac:dyDescent="0.2">
      <c r="A863" s="58">
        <v>43687.187488425923</v>
      </c>
      <c r="B863" s="32">
        <v>589423</v>
      </c>
      <c r="C863" s="26">
        <v>17</v>
      </c>
      <c r="D863" s="86" t="s">
        <v>903</v>
      </c>
      <c r="E863" s="32">
        <f t="shared" si="23"/>
        <v>0</v>
      </c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  <c r="FJ863" s="25"/>
      <c r="FK863" s="25"/>
      <c r="FL863" s="25"/>
      <c r="FM863" s="25"/>
      <c r="FN863" s="25"/>
      <c r="FO863" s="25"/>
      <c r="FP863" s="25"/>
      <c r="FQ863" s="25"/>
      <c r="FR863" s="25"/>
      <c r="FS863" s="25"/>
      <c r="FT863" s="25"/>
      <c r="FU863" s="25"/>
      <c r="FV863" s="77"/>
      <c r="FW863" s="28"/>
      <c r="FX863" s="28"/>
      <c r="FY863" s="26"/>
      <c r="FZ863" s="26"/>
      <c r="GA863" s="26"/>
      <c r="GB863" s="26"/>
      <c r="GC863" s="26"/>
      <c r="GD863" s="26"/>
      <c r="GE863" s="26"/>
      <c r="GF863" s="26"/>
      <c r="GG863" s="26"/>
      <c r="GH863" s="26"/>
      <c r="GI863" s="26"/>
      <c r="GJ863" s="26"/>
      <c r="GK863" s="26"/>
      <c r="GL863" s="65"/>
      <c r="GM863" s="26"/>
      <c r="GN863" s="26"/>
      <c r="GO863" s="26"/>
      <c r="GP863" s="26"/>
      <c r="GQ863" s="26"/>
      <c r="GR863" s="26"/>
      <c r="GS863" s="64"/>
      <c r="GT863" s="26"/>
      <c r="GU863" s="26"/>
      <c r="GV863" s="26"/>
      <c r="GW863" s="26"/>
      <c r="GX863" s="64"/>
      <c r="GY863" s="26"/>
      <c r="GZ863" s="26"/>
      <c r="HA863" s="26"/>
      <c r="HB863" s="26"/>
      <c r="HC863" s="65"/>
      <c r="HD863" s="26"/>
      <c r="HE863" s="26"/>
      <c r="HF863" s="26"/>
      <c r="HG863" s="26"/>
      <c r="HH863" s="65">
        <v>17</v>
      </c>
      <c r="HI863" s="26"/>
      <c r="HJ863" s="26"/>
      <c r="HK863" s="25"/>
      <c r="HL863" s="25"/>
    </row>
    <row r="864" spans="1:220" ht="15.75" customHeight="1" x14ac:dyDescent="0.2">
      <c r="A864" s="58">
        <v>43686.603252314817</v>
      </c>
      <c r="B864" s="32">
        <v>589344</v>
      </c>
      <c r="C864" s="26">
        <v>99</v>
      </c>
      <c r="D864" s="86" t="s">
        <v>904</v>
      </c>
      <c r="E864" s="32">
        <f t="shared" si="23"/>
        <v>0</v>
      </c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  <c r="CL864" s="25"/>
      <c r="CM864" s="25"/>
      <c r="CN864" s="25"/>
      <c r="CO864" s="25"/>
      <c r="CP864" s="25"/>
      <c r="CQ864" s="25"/>
      <c r="CR864" s="25"/>
      <c r="CS864" s="25"/>
      <c r="CT864" s="25"/>
      <c r="CU864" s="25"/>
      <c r="CV864" s="25"/>
      <c r="CW864" s="25"/>
      <c r="CX864" s="25"/>
      <c r="CY864" s="25"/>
      <c r="CZ864" s="25"/>
      <c r="DA864" s="25"/>
      <c r="DB864" s="25"/>
      <c r="DC864" s="25"/>
      <c r="DD864" s="25"/>
      <c r="DE864" s="25"/>
      <c r="DF864" s="25"/>
      <c r="DG864" s="25"/>
      <c r="DH864" s="25"/>
      <c r="DI864" s="25"/>
      <c r="DJ864" s="25"/>
      <c r="DK864" s="25"/>
      <c r="DL864" s="25"/>
      <c r="DM864" s="25"/>
      <c r="DN864" s="25"/>
      <c r="DO864" s="25"/>
      <c r="DP864" s="25"/>
      <c r="DQ864" s="25"/>
      <c r="DR864" s="25"/>
      <c r="DS864" s="25"/>
      <c r="DT864" s="25"/>
      <c r="DU864" s="25"/>
      <c r="DV864" s="25"/>
      <c r="DW864" s="25"/>
      <c r="DX864" s="25"/>
      <c r="DY864" s="25"/>
      <c r="DZ864" s="25"/>
      <c r="EA864" s="25"/>
      <c r="EB864" s="25"/>
      <c r="EC864" s="25"/>
      <c r="ED864" s="25"/>
      <c r="EE864" s="25"/>
      <c r="EF864" s="25"/>
      <c r="EG864" s="25"/>
      <c r="EH864" s="25"/>
      <c r="EI864" s="25"/>
      <c r="EJ864" s="25"/>
      <c r="EK864" s="25"/>
      <c r="EL864" s="25"/>
      <c r="EM864" s="25"/>
      <c r="EN864" s="25"/>
      <c r="EO864" s="25"/>
      <c r="EP864" s="25"/>
      <c r="EQ864" s="25"/>
      <c r="ER864" s="25"/>
      <c r="ES864" s="25"/>
      <c r="ET864" s="25"/>
      <c r="EU864" s="25"/>
      <c r="EV864" s="25"/>
      <c r="EW864" s="25"/>
      <c r="EX864" s="25"/>
      <c r="EY864" s="25"/>
      <c r="EZ864" s="25"/>
      <c r="FA864" s="25"/>
      <c r="FB864" s="25"/>
      <c r="FC864" s="25"/>
      <c r="FD864" s="25"/>
      <c r="FE864" s="25"/>
      <c r="FF864" s="25"/>
      <c r="FG864" s="25"/>
      <c r="FH864" s="25"/>
      <c r="FI864" s="25"/>
      <c r="FJ864" s="25"/>
      <c r="FK864" s="25"/>
      <c r="FL864" s="25"/>
      <c r="FM864" s="25"/>
      <c r="FN864" s="25"/>
      <c r="FO864" s="25"/>
      <c r="FP864" s="25"/>
      <c r="FQ864" s="25"/>
      <c r="FR864" s="25"/>
      <c r="FS864" s="25"/>
      <c r="FT864" s="25"/>
      <c r="FU864" s="25"/>
      <c r="FV864" s="77"/>
      <c r="FW864" s="28"/>
      <c r="FX864" s="28"/>
      <c r="FY864" s="26"/>
      <c r="FZ864" s="26"/>
      <c r="GA864" s="26"/>
      <c r="GB864" s="26"/>
      <c r="GC864" s="26"/>
      <c r="GD864" s="26"/>
      <c r="GE864" s="26"/>
      <c r="GF864" s="26"/>
      <c r="GG864" s="26"/>
      <c r="GH864" s="26"/>
      <c r="GI864" s="26"/>
      <c r="GJ864" s="26"/>
      <c r="GK864" s="26"/>
      <c r="GL864" s="65"/>
      <c r="GM864" s="26"/>
      <c r="GN864" s="26"/>
      <c r="GO864" s="26"/>
      <c r="GP864" s="26"/>
      <c r="GQ864" s="26"/>
      <c r="GR864" s="26"/>
      <c r="GS864" s="64"/>
      <c r="GT864" s="26"/>
      <c r="GU864" s="26"/>
      <c r="GV864" s="26"/>
      <c r="GW864" s="26"/>
      <c r="GX864" s="64"/>
      <c r="GY864" s="26"/>
      <c r="GZ864" s="26"/>
      <c r="HA864" s="26"/>
      <c r="HB864" s="26"/>
      <c r="HC864" s="65"/>
      <c r="HD864" s="26"/>
      <c r="HE864" s="26"/>
      <c r="HF864" s="26"/>
      <c r="HG864" s="26"/>
      <c r="HH864" s="65">
        <v>99</v>
      </c>
      <c r="HI864" s="26"/>
      <c r="HJ864" s="26"/>
      <c r="HK864" s="25"/>
      <c r="HL864" s="25"/>
    </row>
    <row r="865" spans="1:220" ht="15.75" customHeight="1" x14ac:dyDescent="0.2">
      <c r="A865" s="58">
        <v>43689.115925925929</v>
      </c>
      <c r="B865" s="32">
        <v>589724</v>
      </c>
      <c r="C865" s="26">
        <v>51.4</v>
      </c>
      <c r="D865" s="86" t="s">
        <v>905</v>
      </c>
      <c r="E865" s="32">
        <f t="shared" si="23"/>
        <v>0</v>
      </c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  <c r="CL865" s="25"/>
      <c r="CM865" s="25"/>
      <c r="CN865" s="25"/>
      <c r="CO865" s="25"/>
      <c r="CP865" s="25"/>
      <c r="CQ865" s="25"/>
      <c r="CR865" s="25"/>
      <c r="CS865" s="25"/>
      <c r="CT865" s="25"/>
      <c r="CU865" s="25"/>
      <c r="CV865" s="25"/>
      <c r="CW865" s="25"/>
      <c r="CX865" s="25"/>
      <c r="CY865" s="25"/>
      <c r="CZ865" s="25"/>
      <c r="DA865" s="25"/>
      <c r="DB865" s="25"/>
      <c r="DC865" s="25"/>
      <c r="DD865" s="25"/>
      <c r="DE865" s="25"/>
      <c r="DF865" s="25"/>
      <c r="DG865" s="25"/>
      <c r="DH865" s="25"/>
      <c r="DI865" s="25"/>
      <c r="DJ865" s="25"/>
      <c r="DK865" s="25"/>
      <c r="DL865" s="25"/>
      <c r="DM865" s="25"/>
      <c r="DN865" s="25"/>
      <c r="DO865" s="25"/>
      <c r="DP865" s="25"/>
      <c r="DQ865" s="25"/>
      <c r="DR865" s="25"/>
      <c r="DS865" s="25"/>
      <c r="DT865" s="25"/>
      <c r="DU865" s="25"/>
      <c r="DV865" s="25"/>
      <c r="DW865" s="25"/>
      <c r="DX865" s="25"/>
      <c r="DY865" s="25"/>
      <c r="DZ865" s="25"/>
      <c r="EA865" s="25"/>
      <c r="EB865" s="25"/>
      <c r="EC865" s="25"/>
      <c r="ED865" s="25"/>
      <c r="EE865" s="25"/>
      <c r="EF865" s="25"/>
      <c r="EG865" s="25"/>
      <c r="EH865" s="25"/>
      <c r="EI865" s="25"/>
      <c r="EJ865" s="25"/>
      <c r="EK865" s="25"/>
      <c r="EL865" s="25"/>
      <c r="EM865" s="25"/>
      <c r="EN865" s="25"/>
      <c r="EO865" s="25"/>
      <c r="EP865" s="25"/>
      <c r="EQ865" s="25"/>
      <c r="ER865" s="25"/>
      <c r="ES865" s="25"/>
      <c r="ET865" s="25"/>
      <c r="EU865" s="25"/>
      <c r="EV865" s="25"/>
      <c r="EW865" s="25"/>
      <c r="EX865" s="25"/>
      <c r="EY865" s="25"/>
      <c r="EZ865" s="25"/>
      <c r="FA865" s="25"/>
      <c r="FB865" s="25"/>
      <c r="FC865" s="25"/>
      <c r="FD865" s="25"/>
      <c r="FE865" s="25"/>
      <c r="FF865" s="25"/>
      <c r="FG865" s="25"/>
      <c r="FH865" s="25"/>
      <c r="FI865" s="25"/>
      <c r="FJ865" s="25"/>
      <c r="FK865" s="25"/>
      <c r="FL865" s="25"/>
      <c r="FM865" s="25"/>
      <c r="FN865" s="25"/>
      <c r="FO865" s="25"/>
      <c r="FP865" s="25"/>
      <c r="FQ865" s="25"/>
      <c r="FR865" s="25"/>
      <c r="FS865" s="25"/>
      <c r="FT865" s="25"/>
      <c r="FU865" s="25"/>
      <c r="FV865" s="77"/>
      <c r="FW865" s="28"/>
      <c r="FX865" s="28"/>
      <c r="FY865" s="26"/>
      <c r="FZ865" s="26"/>
      <c r="GA865" s="26"/>
      <c r="GB865" s="26"/>
      <c r="GC865" s="26"/>
      <c r="GD865" s="26"/>
      <c r="GE865" s="26"/>
      <c r="GF865" s="26"/>
      <c r="GG865" s="26"/>
      <c r="GH865" s="26"/>
      <c r="GI865" s="26"/>
      <c r="GJ865" s="26"/>
      <c r="GK865" s="26"/>
      <c r="GL865" s="65"/>
      <c r="GM865" s="26"/>
      <c r="GN865" s="26"/>
      <c r="GO865" s="26"/>
      <c r="GP865" s="26"/>
      <c r="GQ865" s="26"/>
      <c r="GR865" s="26"/>
      <c r="GS865" s="64"/>
      <c r="GT865" s="26"/>
      <c r="GU865" s="26"/>
      <c r="GV865" s="26"/>
      <c r="GW865" s="26"/>
      <c r="GX865" s="64"/>
      <c r="GY865" s="26"/>
      <c r="GZ865" s="26"/>
      <c r="HA865" s="26"/>
      <c r="HB865" s="26"/>
      <c r="HC865" s="65"/>
      <c r="HD865" s="26"/>
      <c r="HE865" s="26">
        <v>25</v>
      </c>
      <c r="HF865" s="26">
        <v>26.4</v>
      </c>
      <c r="HG865" s="26"/>
      <c r="HH865" s="65"/>
      <c r="HI865" s="26"/>
      <c r="HJ865" s="26"/>
      <c r="HK865" s="25"/>
      <c r="HL865" s="25"/>
    </row>
    <row r="866" spans="1:220" ht="15.75" customHeight="1" x14ac:dyDescent="0.2">
      <c r="A866" s="58">
        <v>43686.400960648149</v>
      </c>
      <c r="B866" s="32">
        <v>589313</v>
      </c>
      <c r="C866" s="26">
        <v>10</v>
      </c>
      <c r="D866" s="86" t="s">
        <v>895</v>
      </c>
      <c r="E866" s="32">
        <f t="shared" si="23"/>
        <v>0</v>
      </c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  <c r="CI866" s="25"/>
      <c r="CJ866" s="25"/>
      <c r="CK866" s="25"/>
      <c r="CL866" s="25"/>
      <c r="CM866" s="25"/>
      <c r="CN866" s="25"/>
      <c r="CO866" s="25"/>
      <c r="CP866" s="25"/>
      <c r="CQ866" s="25"/>
      <c r="CR866" s="25"/>
      <c r="CS866" s="25"/>
      <c r="CT866" s="25"/>
      <c r="CU866" s="25"/>
      <c r="CV866" s="25"/>
      <c r="CW866" s="25"/>
      <c r="CX866" s="25"/>
      <c r="CY866" s="25"/>
      <c r="CZ866" s="25"/>
      <c r="DA866" s="25"/>
      <c r="DB866" s="25"/>
      <c r="DC866" s="25"/>
      <c r="DD866" s="25"/>
      <c r="DE866" s="25"/>
      <c r="DF866" s="25"/>
      <c r="DG866" s="25"/>
      <c r="DH866" s="25"/>
      <c r="DI866" s="25"/>
      <c r="DJ866" s="25"/>
      <c r="DK866" s="25"/>
      <c r="DL866" s="25"/>
      <c r="DM866" s="25"/>
      <c r="DN866" s="25"/>
      <c r="DO866" s="25"/>
      <c r="DP866" s="25"/>
      <c r="DQ866" s="25"/>
      <c r="DR866" s="25"/>
      <c r="DS866" s="25"/>
      <c r="DT866" s="25"/>
      <c r="DU866" s="25"/>
      <c r="DV866" s="25"/>
      <c r="DW866" s="25"/>
      <c r="DX866" s="25"/>
      <c r="DY866" s="25"/>
      <c r="DZ866" s="25"/>
      <c r="EA866" s="25"/>
      <c r="EB866" s="25"/>
      <c r="EC866" s="25"/>
      <c r="ED866" s="25"/>
      <c r="EE866" s="25"/>
      <c r="EF866" s="25"/>
      <c r="EG866" s="25"/>
      <c r="EH866" s="25"/>
      <c r="EI866" s="25"/>
      <c r="EJ866" s="25"/>
      <c r="EK866" s="25"/>
      <c r="EL866" s="25"/>
      <c r="EM866" s="25"/>
      <c r="EN866" s="25"/>
      <c r="EO866" s="25"/>
      <c r="EP866" s="25"/>
      <c r="EQ866" s="25"/>
      <c r="ER866" s="25"/>
      <c r="ES866" s="25"/>
      <c r="ET866" s="25"/>
      <c r="EU866" s="25"/>
      <c r="EV866" s="25"/>
      <c r="EW866" s="25"/>
      <c r="EX866" s="25"/>
      <c r="EY866" s="25"/>
      <c r="EZ866" s="25"/>
      <c r="FA866" s="25"/>
      <c r="FB866" s="25"/>
      <c r="FC866" s="25"/>
      <c r="FD866" s="25"/>
      <c r="FE866" s="25"/>
      <c r="FF866" s="25"/>
      <c r="FG866" s="25"/>
      <c r="FH866" s="25"/>
      <c r="FI866" s="25"/>
      <c r="FJ866" s="25"/>
      <c r="FK866" s="25"/>
      <c r="FL866" s="25"/>
      <c r="FM866" s="25"/>
      <c r="FN866" s="25"/>
      <c r="FO866" s="25"/>
      <c r="FP866" s="25"/>
      <c r="FQ866" s="25"/>
      <c r="FR866" s="25"/>
      <c r="FS866" s="25"/>
      <c r="FT866" s="25"/>
      <c r="FU866" s="25"/>
      <c r="FV866" s="77"/>
      <c r="FW866" s="28"/>
      <c r="FX866" s="28"/>
      <c r="FY866" s="26"/>
      <c r="FZ866" s="26"/>
      <c r="GA866" s="26"/>
      <c r="GB866" s="26"/>
      <c r="GC866" s="26"/>
      <c r="GD866" s="26"/>
      <c r="GE866" s="26"/>
      <c r="GF866" s="26"/>
      <c r="GG866" s="26"/>
      <c r="GH866" s="26"/>
      <c r="GI866" s="26"/>
      <c r="GJ866" s="26"/>
      <c r="GK866" s="26"/>
      <c r="GL866" s="65"/>
      <c r="GM866" s="26"/>
      <c r="GN866" s="26"/>
      <c r="GO866" s="26"/>
      <c r="GP866" s="26"/>
      <c r="GQ866" s="26"/>
      <c r="GR866" s="26"/>
      <c r="GS866" s="64"/>
      <c r="GT866" s="26"/>
      <c r="GU866" s="26"/>
      <c r="GV866" s="26"/>
      <c r="GW866" s="26"/>
      <c r="GX866" s="64"/>
      <c r="GY866" s="26"/>
      <c r="GZ866" s="26"/>
      <c r="HA866" s="26"/>
      <c r="HB866" s="26"/>
      <c r="HC866" s="65"/>
      <c r="HD866" s="26"/>
      <c r="HE866" s="26"/>
      <c r="HF866" s="26"/>
      <c r="HG866" s="26"/>
      <c r="HH866" s="65"/>
      <c r="HI866" s="26">
        <v>10</v>
      </c>
      <c r="HJ866" s="26"/>
      <c r="HK866" s="25"/>
      <c r="HL866" s="25"/>
    </row>
    <row r="867" spans="1:220" ht="15.75" customHeight="1" x14ac:dyDescent="0.2">
      <c r="A867" s="58">
        <v>43686.424571759257</v>
      </c>
      <c r="B867" s="32">
        <v>589317</v>
      </c>
      <c r="C867" s="26">
        <v>50.247</v>
      </c>
      <c r="D867" s="86" t="s">
        <v>906</v>
      </c>
      <c r="E867" s="32">
        <f t="shared" si="23"/>
        <v>0</v>
      </c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  <c r="CL867" s="25"/>
      <c r="CM867" s="25"/>
      <c r="CN867" s="25"/>
      <c r="CO867" s="25"/>
      <c r="CP867" s="25"/>
      <c r="CQ867" s="25"/>
      <c r="CR867" s="25"/>
      <c r="CS867" s="25"/>
      <c r="CT867" s="25"/>
      <c r="CU867" s="25"/>
      <c r="CV867" s="25"/>
      <c r="CW867" s="25"/>
      <c r="CX867" s="25"/>
      <c r="CY867" s="25"/>
      <c r="CZ867" s="25"/>
      <c r="DA867" s="25"/>
      <c r="DB867" s="25"/>
      <c r="DC867" s="25"/>
      <c r="DD867" s="25"/>
      <c r="DE867" s="25"/>
      <c r="DF867" s="25"/>
      <c r="DG867" s="25"/>
      <c r="DH867" s="25"/>
      <c r="DI867" s="25"/>
      <c r="DJ867" s="25"/>
      <c r="DK867" s="25"/>
      <c r="DL867" s="25"/>
      <c r="DM867" s="25"/>
      <c r="DN867" s="25"/>
      <c r="DO867" s="25"/>
      <c r="DP867" s="25"/>
      <c r="DQ867" s="25"/>
      <c r="DR867" s="25"/>
      <c r="DS867" s="25"/>
      <c r="DT867" s="25"/>
      <c r="DU867" s="25"/>
      <c r="DV867" s="25"/>
      <c r="DW867" s="25"/>
      <c r="DX867" s="25"/>
      <c r="DY867" s="25"/>
      <c r="DZ867" s="25"/>
      <c r="EA867" s="25"/>
      <c r="EB867" s="25"/>
      <c r="EC867" s="25"/>
      <c r="ED867" s="25"/>
      <c r="EE867" s="25"/>
      <c r="EF867" s="25"/>
      <c r="EG867" s="25"/>
      <c r="EH867" s="25"/>
      <c r="EI867" s="25"/>
      <c r="EJ867" s="25"/>
      <c r="EK867" s="25"/>
      <c r="EL867" s="25"/>
      <c r="EM867" s="25"/>
      <c r="EN867" s="25"/>
      <c r="EO867" s="25"/>
      <c r="EP867" s="25"/>
      <c r="EQ867" s="25"/>
      <c r="ER867" s="25"/>
      <c r="ES867" s="25"/>
      <c r="ET867" s="25"/>
      <c r="EU867" s="25"/>
      <c r="EV867" s="25"/>
      <c r="EW867" s="25"/>
      <c r="EX867" s="25"/>
      <c r="EY867" s="25"/>
      <c r="EZ867" s="25"/>
      <c r="FA867" s="25"/>
      <c r="FB867" s="25"/>
      <c r="FC867" s="25"/>
      <c r="FD867" s="25"/>
      <c r="FE867" s="25"/>
      <c r="FF867" s="25"/>
      <c r="FG867" s="25"/>
      <c r="FH867" s="25"/>
      <c r="FI867" s="25"/>
      <c r="FJ867" s="25"/>
      <c r="FK867" s="25"/>
      <c r="FL867" s="25"/>
      <c r="FM867" s="25"/>
      <c r="FN867" s="25"/>
      <c r="FO867" s="25"/>
      <c r="FP867" s="25"/>
      <c r="FQ867" s="25"/>
      <c r="FR867" s="25"/>
      <c r="FS867" s="25"/>
      <c r="FT867" s="25"/>
      <c r="FU867" s="25"/>
      <c r="FV867" s="77"/>
      <c r="FW867" s="28"/>
      <c r="FX867" s="28"/>
      <c r="FY867" s="26"/>
      <c r="FZ867" s="26"/>
      <c r="GA867" s="26"/>
      <c r="GB867" s="26"/>
      <c r="GC867" s="26"/>
      <c r="GD867" s="26"/>
      <c r="GE867" s="26"/>
      <c r="GF867" s="26"/>
      <c r="GG867" s="26"/>
      <c r="GH867" s="26"/>
      <c r="GI867" s="26"/>
      <c r="GJ867" s="26"/>
      <c r="GK867" s="26"/>
      <c r="GL867" s="65"/>
      <c r="GM867" s="26"/>
      <c r="GN867" s="26"/>
      <c r="GO867" s="26"/>
      <c r="GP867" s="26"/>
      <c r="GQ867" s="26"/>
      <c r="GR867" s="26"/>
      <c r="GS867" s="64"/>
      <c r="GT867" s="26"/>
      <c r="GU867" s="26"/>
      <c r="GV867" s="26"/>
      <c r="GW867" s="26"/>
      <c r="GX867" s="64"/>
      <c r="GY867" s="26"/>
      <c r="GZ867" s="26"/>
      <c r="HA867" s="26"/>
      <c r="HB867" s="26"/>
      <c r="HC867" s="65"/>
      <c r="HD867" s="26"/>
      <c r="HE867" s="26"/>
      <c r="HF867" s="26"/>
      <c r="HG867" s="26"/>
      <c r="HH867" s="65"/>
      <c r="HI867" s="26">
        <v>50.247</v>
      </c>
      <c r="HJ867" s="26"/>
      <c r="HK867" s="25"/>
      <c r="HL867" s="25"/>
    </row>
    <row r="868" spans="1:220" ht="15.75" customHeight="1" x14ac:dyDescent="0.2">
      <c r="A868" s="58">
        <v>43686.468275462961</v>
      </c>
      <c r="B868" s="32">
        <v>589320</v>
      </c>
      <c r="C868" s="26">
        <v>35.299999999999997</v>
      </c>
      <c r="D868" s="86" t="s">
        <v>907</v>
      </c>
      <c r="E868" s="32">
        <f t="shared" si="23"/>
        <v>0</v>
      </c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  <c r="CI868" s="25"/>
      <c r="CJ868" s="25"/>
      <c r="CK868" s="25"/>
      <c r="CL868" s="25"/>
      <c r="CM868" s="25"/>
      <c r="CN868" s="25"/>
      <c r="CO868" s="25"/>
      <c r="CP868" s="25"/>
      <c r="CQ868" s="25"/>
      <c r="CR868" s="25"/>
      <c r="CS868" s="25"/>
      <c r="CT868" s="25"/>
      <c r="CU868" s="25"/>
      <c r="CV868" s="25"/>
      <c r="CW868" s="25"/>
      <c r="CX868" s="25"/>
      <c r="CY868" s="25"/>
      <c r="CZ868" s="25"/>
      <c r="DA868" s="25"/>
      <c r="DB868" s="25"/>
      <c r="DC868" s="25"/>
      <c r="DD868" s="25"/>
      <c r="DE868" s="25"/>
      <c r="DF868" s="25"/>
      <c r="DG868" s="25"/>
      <c r="DH868" s="25"/>
      <c r="DI868" s="25"/>
      <c r="DJ868" s="25"/>
      <c r="DK868" s="25"/>
      <c r="DL868" s="25"/>
      <c r="DM868" s="25"/>
      <c r="DN868" s="25"/>
      <c r="DO868" s="25"/>
      <c r="DP868" s="25"/>
      <c r="DQ868" s="25"/>
      <c r="DR868" s="25"/>
      <c r="DS868" s="25"/>
      <c r="DT868" s="25"/>
      <c r="DU868" s="25"/>
      <c r="DV868" s="25"/>
      <c r="DW868" s="25"/>
      <c r="DX868" s="25"/>
      <c r="DY868" s="25"/>
      <c r="DZ868" s="25"/>
      <c r="EA868" s="25"/>
      <c r="EB868" s="25"/>
      <c r="EC868" s="25"/>
      <c r="ED868" s="25"/>
      <c r="EE868" s="25"/>
      <c r="EF868" s="25"/>
      <c r="EG868" s="25"/>
      <c r="EH868" s="25"/>
      <c r="EI868" s="25"/>
      <c r="EJ868" s="25"/>
      <c r="EK868" s="25"/>
      <c r="EL868" s="25"/>
      <c r="EM868" s="25"/>
      <c r="EN868" s="25"/>
      <c r="EO868" s="25"/>
      <c r="EP868" s="25"/>
      <c r="EQ868" s="25"/>
      <c r="ER868" s="25"/>
      <c r="ES868" s="25"/>
      <c r="ET868" s="25"/>
      <c r="EU868" s="25"/>
      <c r="EV868" s="25"/>
      <c r="EW868" s="25"/>
      <c r="EX868" s="25"/>
      <c r="EY868" s="25"/>
      <c r="EZ868" s="25"/>
      <c r="FA868" s="25"/>
      <c r="FB868" s="25"/>
      <c r="FC868" s="25"/>
      <c r="FD868" s="25"/>
      <c r="FE868" s="25"/>
      <c r="FF868" s="25"/>
      <c r="FG868" s="25"/>
      <c r="FH868" s="25"/>
      <c r="FI868" s="25"/>
      <c r="FJ868" s="25"/>
      <c r="FK868" s="25"/>
      <c r="FL868" s="25"/>
      <c r="FM868" s="25"/>
      <c r="FN868" s="25"/>
      <c r="FO868" s="25"/>
      <c r="FP868" s="25"/>
      <c r="FQ868" s="25"/>
      <c r="FR868" s="25"/>
      <c r="FS868" s="25"/>
      <c r="FT868" s="25"/>
      <c r="FU868" s="25"/>
      <c r="FV868" s="77"/>
      <c r="FW868" s="28"/>
      <c r="FX868" s="28"/>
      <c r="FY868" s="26"/>
      <c r="FZ868" s="26"/>
      <c r="GA868" s="26"/>
      <c r="GB868" s="26"/>
      <c r="GC868" s="26"/>
      <c r="GD868" s="26"/>
      <c r="GE868" s="26"/>
      <c r="GF868" s="26"/>
      <c r="GG868" s="26"/>
      <c r="GH868" s="26"/>
      <c r="GI868" s="26"/>
      <c r="GJ868" s="26"/>
      <c r="GK868" s="26"/>
      <c r="GL868" s="65"/>
      <c r="GM868" s="26"/>
      <c r="GN868" s="26"/>
      <c r="GO868" s="26"/>
      <c r="GP868" s="26"/>
      <c r="GQ868" s="26"/>
      <c r="GR868" s="26"/>
      <c r="GS868" s="64"/>
      <c r="GT868" s="26"/>
      <c r="GU868" s="26"/>
      <c r="GV868" s="26"/>
      <c r="GW868" s="26"/>
      <c r="GX868" s="64"/>
      <c r="GY868" s="26"/>
      <c r="GZ868" s="26"/>
      <c r="HA868" s="26"/>
      <c r="HB868" s="26"/>
      <c r="HC868" s="65"/>
      <c r="HD868" s="26"/>
      <c r="HE868" s="26"/>
      <c r="HF868" s="26"/>
      <c r="HG868" s="26"/>
      <c r="HH868" s="65"/>
      <c r="HI868" s="26">
        <v>35.299999999999997</v>
      </c>
      <c r="HJ868" s="26"/>
      <c r="HK868" s="25"/>
      <c r="HL868" s="25"/>
    </row>
    <row r="869" spans="1:220" ht="15.75" customHeight="1" x14ac:dyDescent="0.2">
      <c r="A869" s="58">
        <v>43687.256562499999</v>
      </c>
      <c r="B869" s="32">
        <v>589431</v>
      </c>
      <c r="C869" s="26">
        <v>100.24</v>
      </c>
      <c r="D869" s="86" t="s">
        <v>908</v>
      </c>
      <c r="E869" s="32">
        <f t="shared" si="23"/>
        <v>0</v>
      </c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  <c r="CI869" s="25"/>
      <c r="CJ869" s="25"/>
      <c r="CK869" s="25"/>
      <c r="CL869" s="25"/>
      <c r="CM869" s="25"/>
      <c r="CN869" s="25"/>
      <c r="CO869" s="25"/>
      <c r="CP869" s="25"/>
      <c r="CQ869" s="25"/>
      <c r="CR869" s="25"/>
      <c r="CS869" s="25"/>
      <c r="CT869" s="25"/>
      <c r="CU869" s="25"/>
      <c r="CV869" s="25"/>
      <c r="CW869" s="25"/>
      <c r="CX869" s="25"/>
      <c r="CY869" s="25"/>
      <c r="CZ869" s="25"/>
      <c r="DA869" s="25"/>
      <c r="DB869" s="25"/>
      <c r="DC869" s="25"/>
      <c r="DD869" s="25"/>
      <c r="DE869" s="25"/>
      <c r="DF869" s="25"/>
      <c r="DG869" s="25"/>
      <c r="DH869" s="25"/>
      <c r="DI869" s="25"/>
      <c r="DJ869" s="25"/>
      <c r="DK869" s="25"/>
      <c r="DL869" s="25"/>
      <c r="DM869" s="25"/>
      <c r="DN869" s="25"/>
      <c r="DO869" s="25"/>
      <c r="DP869" s="25"/>
      <c r="DQ869" s="25"/>
      <c r="DR869" s="25"/>
      <c r="DS869" s="25"/>
      <c r="DT869" s="25"/>
      <c r="DU869" s="25"/>
      <c r="DV869" s="25"/>
      <c r="DW869" s="25"/>
      <c r="DX869" s="25"/>
      <c r="DY869" s="25"/>
      <c r="DZ869" s="25"/>
      <c r="EA869" s="25"/>
      <c r="EB869" s="25"/>
      <c r="EC869" s="25"/>
      <c r="ED869" s="25"/>
      <c r="EE869" s="25"/>
      <c r="EF869" s="25"/>
      <c r="EG869" s="25"/>
      <c r="EH869" s="25"/>
      <c r="EI869" s="25"/>
      <c r="EJ869" s="25"/>
      <c r="EK869" s="25"/>
      <c r="EL869" s="25"/>
      <c r="EM869" s="25"/>
      <c r="EN869" s="25"/>
      <c r="EO869" s="25"/>
      <c r="EP869" s="25"/>
      <c r="EQ869" s="25"/>
      <c r="ER869" s="25"/>
      <c r="ES869" s="25"/>
      <c r="ET869" s="25"/>
      <c r="EU869" s="25"/>
      <c r="EV869" s="25"/>
      <c r="EW869" s="25"/>
      <c r="EX869" s="25"/>
      <c r="EY869" s="25"/>
      <c r="EZ869" s="25"/>
      <c r="FA869" s="25"/>
      <c r="FB869" s="25"/>
      <c r="FC869" s="25"/>
      <c r="FD869" s="25"/>
      <c r="FE869" s="25"/>
      <c r="FF869" s="25"/>
      <c r="FG869" s="25"/>
      <c r="FH869" s="25"/>
      <c r="FI869" s="25"/>
      <c r="FJ869" s="25"/>
      <c r="FK869" s="25"/>
      <c r="FL869" s="25"/>
      <c r="FM869" s="25"/>
      <c r="FN869" s="25"/>
      <c r="FO869" s="25"/>
      <c r="FP869" s="25"/>
      <c r="FQ869" s="25"/>
      <c r="FR869" s="25"/>
      <c r="FS869" s="25"/>
      <c r="FT869" s="25"/>
      <c r="FU869" s="25"/>
      <c r="FV869" s="77"/>
      <c r="FW869" s="28"/>
      <c r="FX869" s="28"/>
      <c r="FY869" s="26"/>
      <c r="FZ869" s="26"/>
      <c r="GA869" s="26"/>
      <c r="GB869" s="26"/>
      <c r="GC869" s="26"/>
      <c r="GD869" s="26"/>
      <c r="GE869" s="26"/>
      <c r="GF869" s="26"/>
      <c r="GG869" s="26"/>
      <c r="GH869" s="26"/>
      <c r="GI869" s="26"/>
      <c r="GJ869" s="26"/>
      <c r="GK869" s="26"/>
      <c r="GL869" s="65"/>
      <c r="GM869" s="26"/>
      <c r="GN869" s="26"/>
      <c r="GO869" s="26"/>
      <c r="GP869" s="26"/>
      <c r="GQ869" s="26"/>
      <c r="GR869" s="26"/>
      <c r="GS869" s="64"/>
      <c r="GT869" s="26"/>
      <c r="GU869" s="26"/>
      <c r="GV869" s="26"/>
      <c r="GW869" s="26"/>
      <c r="GX869" s="64"/>
      <c r="GY869" s="26"/>
      <c r="GZ869" s="26"/>
      <c r="HA869" s="26"/>
      <c r="HB869" s="26"/>
      <c r="HC869" s="65"/>
      <c r="HD869" s="26"/>
      <c r="HE869" s="26"/>
      <c r="HF869" s="26"/>
      <c r="HG869" s="26"/>
      <c r="HH869" s="65">
        <v>100.24</v>
      </c>
      <c r="HI869" s="26"/>
      <c r="HJ869" s="26"/>
      <c r="HK869" s="25"/>
      <c r="HL869" s="25"/>
    </row>
    <row r="870" spans="1:220" ht="15.75" customHeight="1" x14ac:dyDescent="0.2">
      <c r="A870" s="58">
        <v>43686.975532407407</v>
      </c>
      <c r="B870" s="32">
        <v>589396</v>
      </c>
      <c r="C870" s="26">
        <v>46.238</v>
      </c>
      <c r="D870" s="86" t="s">
        <v>909</v>
      </c>
      <c r="E870" s="32">
        <f t="shared" si="23"/>
        <v>0</v>
      </c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  <c r="CL870" s="25"/>
      <c r="CM870" s="25"/>
      <c r="CN870" s="25"/>
      <c r="CO870" s="25"/>
      <c r="CP870" s="25"/>
      <c r="CQ870" s="25"/>
      <c r="CR870" s="25"/>
      <c r="CS870" s="25"/>
      <c r="CT870" s="25"/>
      <c r="CU870" s="25"/>
      <c r="CV870" s="25"/>
      <c r="CW870" s="25"/>
      <c r="CX870" s="25"/>
      <c r="CY870" s="25"/>
      <c r="CZ870" s="25"/>
      <c r="DA870" s="25"/>
      <c r="DB870" s="25"/>
      <c r="DC870" s="25"/>
      <c r="DD870" s="25"/>
      <c r="DE870" s="25"/>
      <c r="DF870" s="25"/>
      <c r="DG870" s="25"/>
      <c r="DH870" s="25"/>
      <c r="DI870" s="25"/>
      <c r="DJ870" s="25"/>
      <c r="DK870" s="25"/>
      <c r="DL870" s="25"/>
      <c r="DM870" s="25"/>
      <c r="DN870" s="25"/>
      <c r="DO870" s="25"/>
      <c r="DP870" s="25"/>
      <c r="DQ870" s="25"/>
      <c r="DR870" s="25"/>
      <c r="DS870" s="25"/>
      <c r="DT870" s="25"/>
      <c r="DU870" s="25"/>
      <c r="DV870" s="25"/>
      <c r="DW870" s="25"/>
      <c r="DX870" s="25"/>
      <c r="DY870" s="25"/>
      <c r="DZ870" s="25"/>
      <c r="EA870" s="25"/>
      <c r="EB870" s="25"/>
      <c r="EC870" s="25"/>
      <c r="ED870" s="25"/>
      <c r="EE870" s="25"/>
      <c r="EF870" s="25"/>
      <c r="EG870" s="25"/>
      <c r="EH870" s="25"/>
      <c r="EI870" s="25"/>
      <c r="EJ870" s="25"/>
      <c r="EK870" s="25"/>
      <c r="EL870" s="25"/>
      <c r="EM870" s="25"/>
      <c r="EN870" s="25"/>
      <c r="EO870" s="25"/>
      <c r="EP870" s="25"/>
      <c r="EQ870" s="25"/>
      <c r="ER870" s="25"/>
      <c r="ES870" s="25"/>
      <c r="ET870" s="25"/>
      <c r="EU870" s="25"/>
      <c r="EV870" s="25"/>
      <c r="EW870" s="25"/>
      <c r="EX870" s="25"/>
      <c r="EY870" s="25"/>
      <c r="EZ870" s="25"/>
      <c r="FA870" s="25"/>
      <c r="FB870" s="25"/>
      <c r="FC870" s="25"/>
      <c r="FD870" s="25"/>
      <c r="FE870" s="25"/>
      <c r="FF870" s="25"/>
      <c r="FG870" s="25"/>
      <c r="FH870" s="25"/>
      <c r="FI870" s="25"/>
      <c r="FJ870" s="25"/>
      <c r="FK870" s="25"/>
      <c r="FL870" s="25"/>
      <c r="FM870" s="25"/>
      <c r="FN870" s="25"/>
      <c r="FO870" s="25"/>
      <c r="FP870" s="25"/>
      <c r="FQ870" s="25"/>
      <c r="FR870" s="25"/>
      <c r="FS870" s="25"/>
      <c r="FT870" s="25"/>
      <c r="FU870" s="25"/>
      <c r="FV870" s="77"/>
      <c r="FW870" s="28"/>
      <c r="FX870" s="28"/>
      <c r="FY870" s="26"/>
      <c r="FZ870" s="26"/>
      <c r="GA870" s="26"/>
      <c r="GB870" s="26"/>
      <c r="GC870" s="26"/>
      <c r="GD870" s="26"/>
      <c r="GE870" s="26"/>
      <c r="GF870" s="26"/>
      <c r="GG870" s="26"/>
      <c r="GH870" s="26"/>
      <c r="GI870" s="26"/>
      <c r="GJ870" s="26"/>
      <c r="GK870" s="26"/>
      <c r="GL870" s="65"/>
      <c r="GM870" s="26"/>
      <c r="GN870" s="26"/>
      <c r="GO870" s="26"/>
      <c r="GP870" s="26"/>
      <c r="GQ870" s="26"/>
      <c r="GR870" s="26"/>
      <c r="GS870" s="64"/>
      <c r="GT870" s="26"/>
      <c r="GU870" s="26"/>
      <c r="GV870" s="26"/>
      <c r="GW870" s="26"/>
      <c r="GX870" s="64"/>
      <c r="GY870" s="26"/>
      <c r="GZ870" s="26"/>
      <c r="HA870" s="26"/>
      <c r="HB870" s="26"/>
      <c r="HC870" s="65"/>
      <c r="HD870" s="26"/>
      <c r="HE870" s="26"/>
      <c r="HF870" s="26">
        <v>46.238</v>
      </c>
      <c r="HG870" s="26"/>
      <c r="HH870" s="65"/>
      <c r="HI870" s="26"/>
      <c r="HJ870" s="26"/>
      <c r="HK870" s="25"/>
      <c r="HL870" s="25"/>
    </row>
    <row r="871" spans="1:220" ht="15.75" customHeight="1" x14ac:dyDescent="0.2">
      <c r="A871" s="58">
        <v>43686.939120370371</v>
      </c>
      <c r="B871" s="32">
        <v>589389</v>
      </c>
      <c r="C871" s="26">
        <v>4.26</v>
      </c>
      <c r="D871" s="86" t="s">
        <v>910</v>
      </c>
      <c r="E871" s="32">
        <f t="shared" si="23"/>
        <v>-4.0000000000000036E-2</v>
      </c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  <c r="CI871" s="25"/>
      <c r="CJ871" s="25"/>
      <c r="CK871" s="25"/>
      <c r="CL871" s="25"/>
      <c r="CM871" s="25"/>
      <c r="CN871" s="25"/>
      <c r="CO871" s="25"/>
      <c r="CP871" s="25"/>
      <c r="CQ871" s="25"/>
      <c r="CR871" s="25"/>
      <c r="CS871" s="25"/>
      <c r="CT871" s="25"/>
      <c r="CU871" s="25"/>
      <c r="CV871" s="25"/>
      <c r="CW871" s="25"/>
      <c r="CX871" s="25"/>
      <c r="CY871" s="25"/>
      <c r="CZ871" s="25"/>
      <c r="DA871" s="25"/>
      <c r="DB871" s="25"/>
      <c r="DC871" s="25"/>
      <c r="DD871" s="25"/>
      <c r="DE871" s="25"/>
      <c r="DF871" s="25"/>
      <c r="DG871" s="25"/>
      <c r="DH871" s="25"/>
      <c r="DI871" s="25"/>
      <c r="DJ871" s="25"/>
      <c r="DK871" s="25"/>
      <c r="DL871" s="25"/>
      <c r="DM871" s="25"/>
      <c r="DN871" s="25"/>
      <c r="DO871" s="25"/>
      <c r="DP871" s="25"/>
      <c r="DQ871" s="25"/>
      <c r="DR871" s="25"/>
      <c r="DS871" s="25"/>
      <c r="DT871" s="25"/>
      <c r="DU871" s="25"/>
      <c r="DV871" s="25"/>
      <c r="DW871" s="25"/>
      <c r="DX871" s="25"/>
      <c r="DY871" s="25"/>
      <c r="DZ871" s="25"/>
      <c r="EA871" s="25"/>
      <c r="EB871" s="25"/>
      <c r="EC871" s="25"/>
      <c r="ED871" s="25"/>
      <c r="EE871" s="25"/>
      <c r="EF871" s="25"/>
      <c r="EG871" s="25"/>
      <c r="EH871" s="25"/>
      <c r="EI871" s="25"/>
      <c r="EJ871" s="25"/>
      <c r="EK871" s="25"/>
      <c r="EL871" s="25"/>
      <c r="EM871" s="25"/>
      <c r="EN871" s="25"/>
      <c r="EO871" s="25"/>
      <c r="EP871" s="25"/>
      <c r="EQ871" s="25"/>
      <c r="ER871" s="25"/>
      <c r="ES871" s="25"/>
      <c r="ET871" s="25"/>
      <c r="EU871" s="25"/>
      <c r="EV871" s="25"/>
      <c r="EW871" s="25"/>
      <c r="EX871" s="25"/>
      <c r="EY871" s="25"/>
      <c r="EZ871" s="25"/>
      <c r="FA871" s="25"/>
      <c r="FB871" s="25"/>
      <c r="FC871" s="25"/>
      <c r="FD871" s="25"/>
      <c r="FE871" s="25"/>
      <c r="FF871" s="25"/>
      <c r="FG871" s="25"/>
      <c r="FH871" s="25"/>
      <c r="FI871" s="25"/>
      <c r="FJ871" s="25"/>
      <c r="FK871" s="25"/>
      <c r="FL871" s="25"/>
      <c r="FM871" s="25"/>
      <c r="FN871" s="25"/>
      <c r="FO871" s="25"/>
      <c r="FP871" s="25"/>
      <c r="FQ871" s="25"/>
      <c r="FR871" s="25"/>
      <c r="FS871" s="25"/>
      <c r="FT871" s="25"/>
      <c r="FU871" s="25"/>
      <c r="FV871" s="77"/>
      <c r="FW871" s="28"/>
      <c r="FX871" s="28"/>
      <c r="FY871" s="26"/>
      <c r="FZ871" s="26"/>
      <c r="GA871" s="26"/>
      <c r="GB871" s="26"/>
      <c r="GC871" s="26"/>
      <c r="GD871" s="26"/>
      <c r="GE871" s="26"/>
      <c r="GF871" s="26"/>
      <c r="GG871" s="26"/>
      <c r="GH871" s="26"/>
      <c r="GI871" s="26"/>
      <c r="GJ871" s="26"/>
      <c r="GK871" s="26"/>
      <c r="GL871" s="65"/>
      <c r="GM871" s="26"/>
      <c r="GN871" s="26"/>
      <c r="GO871" s="26"/>
      <c r="GP871" s="26"/>
      <c r="GQ871" s="26"/>
      <c r="GR871" s="26"/>
      <c r="GS871" s="64"/>
      <c r="GT871" s="26"/>
      <c r="GU871" s="26"/>
      <c r="GV871" s="26"/>
      <c r="GW871" s="26"/>
      <c r="GX871" s="64"/>
      <c r="GY871" s="26"/>
      <c r="GZ871" s="26"/>
      <c r="HA871" s="26"/>
      <c r="HB871" s="26"/>
      <c r="HC871" s="65"/>
      <c r="HD871" s="26"/>
      <c r="HE871" s="26"/>
      <c r="HF871" s="26">
        <v>4.3</v>
      </c>
      <c r="HG871" s="26"/>
      <c r="HH871" s="65"/>
      <c r="HI871" s="26"/>
      <c r="HJ871" s="26"/>
      <c r="HK871" s="25"/>
      <c r="HL871" s="25"/>
    </row>
    <row r="872" spans="1:220" ht="15.75" customHeight="1" x14ac:dyDescent="0.2">
      <c r="A872" s="58">
        <v>43686.939120370371</v>
      </c>
      <c r="B872" s="32">
        <v>589389</v>
      </c>
      <c r="C872" s="26">
        <v>18.66</v>
      </c>
      <c r="D872" s="86" t="s">
        <v>911</v>
      </c>
      <c r="E872" s="32">
        <f t="shared" si="23"/>
        <v>0</v>
      </c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  <c r="CI872" s="25"/>
      <c r="CJ872" s="25"/>
      <c r="CK872" s="25"/>
      <c r="CL872" s="25"/>
      <c r="CM872" s="25"/>
      <c r="CN872" s="25"/>
      <c r="CO872" s="25"/>
      <c r="CP872" s="25"/>
      <c r="CQ872" s="25"/>
      <c r="CR872" s="25"/>
      <c r="CS872" s="25"/>
      <c r="CT872" s="25"/>
      <c r="CU872" s="25"/>
      <c r="CV872" s="25"/>
      <c r="CW872" s="25"/>
      <c r="CX872" s="25"/>
      <c r="CY872" s="25"/>
      <c r="CZ872" s="25"/>
      <c r="DA872" s="25"/>
      <c r="DB872" s="25"/>
      <c r="DC872" s="25"/>
      <c r="DD872" s="25"/>
      <c r="DE872" s="25"/>
      <c r="DF872" s="25"/>
      <c r="DG872" s="25"/>
      <c r="DH872" s="25"/>
      <c r="DI872" s="25"/>
      <c r="DJ872" s="25"/>
      <c r="DK872" s="25"/>
      <c r="DL872" s="25"/>
      <c r="DM872" s="25"/>
      <c r="DN872" s="25"/>
      <c r="DO872" s="25"/>
      <c r="DP872" s="25"/>
      <c r="DQ872" s="25"/>
      <c r="DR872" s="25"/>
      <c r="DS872" s="25"/>
      <c r="DT872" s="25"/>
      <c r="DU872" s="25"/>
      <c r="DV872" s="25"/>
      <c r="DW872" s="25"/>
      <c r="DX872" s="25"/>
      <c r="DY872" s="25"/>
      <c r="DZ872" s="25"/>
      <c r="EA872" s="25"/>
      <c r="EB872" s="25"/>
      <c r="EC872" s="25"/>
      <c r="ED872" s="25"/>
      <c r="EE872" s="25"/>
      <c r="EF872" s="25"/>
      <c r="EG872" s="25"/>
      <c r="EH872" s="25"/>
      <c r="EI872" s="25"/>
      <c r="EJ872" s="25"/>
      <c r="EK872" s="25"/>
      <c r="EL872" s="25"/>
      <c r="EM872" s="25"/>
      <c r="EN872" s="25"/>
      <c r="EO872" s="25"/>
      <c r="EP872" s="25"/>
      <c r="EQ872" s="25"/>
      <c r="ER872" s="25"/>
      <c r="ES872" s="25"/>
      <c r="ET872" s="25"/>
      <c r="EU872" s="25"/>
      <c r="EV872" s="25"/>
      <c r="EW872" s="25"/>
      <c r="EX872" s="25"/>
      <c r="EY872" s="25"/>
      <c r="EZ872" s="25"/>
      <c r="FA872" s="25"/>
      <c r="FB872" s="25"/>
      <c r="FC872" s="25"/>
      <c r="FD872" s="25"/>
      <c r="FE872" s="25"/>
      <c r="FF872" s="25"/>
      <c r="FG872" s="25"/>
      <c r="FH872" s="25"/>
      <c r="FI872" s="25"/>
      <c r="FJ872" s="25"/>
      <c r="FK872" s="25"/>
      <c r="FL872" s="25"/>
      <c r="FM872" s="25"/>
      <c r="FN872" s="25"/>
      <c r="FO872" s="25"/>
      <c r="FP872" s="25"/>
      <c r="FQ872" s="25"/>
      <c r="FR872" s="25"/>
      <c r="FS872" s="25"/>
      <c r="FT872" s="25"/>
      <c r="FU872" s="25"/>
      <c r="FV872" s="77"/>
      <c r="FW872" s="28"/>
      <c r="FX872" s="28"/>
      <c r="FY872" s="26"/>
      <c r="FZ872" s="26"/>
      <c r="GA872" s="26"/>
      <c r="GB872" s="26"/>
      <c r="GC872" s="26"/>
      <c r="GD872" s="26"/>
      <c r="GE872" s="26"/>
      <c r="GF872" s="26"/>
      <c r="GG872" s="26"/>
      <c r="GH872" s="26"/>
      <c r="GI872" s="26"/>
      <c r="GJ872" s="26"/>
      <c r="GK872" s="26"/>
      <c r="GL872" s="65"/>
      <c r="GM872" s="26"/>
      <c r="GN872" s="26"/>
      <c r="GO872" s="26"/>
      <c r="GP872" s="26"/>
      <c r="GQ872" s="26"/>
      <c r="GR872" s="26"/>
      <c r="GS872" s="64"/>
      <c r="GT872" s="26"/>
      <c r="GU872" s="26"/>
      <c r="GV872" s="26"/>
      <c r="GW872" s="26"/>
      <c r="GX872" s="64"/>
      <c r="GY872" s="26"/>
      <c r="GZ872" s="26"/>
      <c r="HA872" s="26"/>
      <c r="HB872" s="26"/>
      <c r="HC872" s="65"/>
      <c r="HD872" s="26"/>
      <c r="HE872" s="26"/>
      <c r="HF872" s="26">
        <v>18.66</v>
      </c>
      <c r="HG872" s="26"/>
      <c r="HH872" s="65"/>
      <c r="HI872" s="26"/>
      <c r="HJ872" s="26"/>
      <c r="HK872" s="25"/>
      <c r="HL872" s="25"/>
    </row>
    <row r="873" spans="1:220" ht="15.75" customHeight="1" x14ac:dyDescent="0.2">
      <c r="A873" s="58">
        <v>43686.983101851853</v>
      </c>
      <c r="B873" s="32">
        <v>589400</v>
      </c>
      <c r="C873" s="26">
        <v>50.94</v>
      </c>
      <c r="D873" s="86" t="s">
        <v>912</v>
      </c>
      <c r="E873" s="32">
        <f t="shared" si="23"/>
        <v>0</v>
      </c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  <c r="CI873" s="25"/>
      <c r="CJ873" s="25"/>
      <c r="CK873" s="25"/>
      <c r="CL873" s="25"/>
      <c r="CM873" s="25"/>
      <c r="CN873" s="25"/>
      <c r="CO873" s="25"/>
      <c r="CP873" s="25"/>
      <c r="CQ873" s="25"/>
      <c r="CR873" s="25"/>
      <c r="CS873" s="25"/>
      <c r="CT873" s="25"/>
      <c r="CU873" s="25"/>
      <c r="CV873" s="25"/>
      <c r="CW873" s="25"/>
      <c r="CX873" s="25"/>
      <c r="CY873" s="25"/>
      <c r="CZ873" s="25"/>
      <c r="DA873" s="25"/>
      <c r="DB873" s="25"/>
      <c r="DC873" s="25"/>
      <c r="DD873" s="25"/>
      <c r="DE873" s="25"/>
      <c r="DF873" s="25"/>
      <c r="DG873" s="25"/>
      <c r="DH873" s="25"/>
      <c r="DI873" s="25"/>
      <c r="DJ873" s="25"/>
      <c r="DK873" s="25"/>
      <c r="DL873" s="25"/>
      <c r="DM873" s="25"/>
      <c r="DN873" s="25"/>
      <c r="DO873" s="25"/>
      <c r="DP873" s="25"/>
      <c r="DQ873" s="25"/>
      <c r="DR873" s="25"/>
      <c r="DS873" s="25"/>
      <c r="DT873" s="25"/>
      <c r="DU873" s="25"/>
      <c r="DV873" s="25"/>
      <c r="DW873" s="25"/>
      <c r="DX873" s="25"/>
      <c r="DY873" s="25"/>
      <c r="DZ873" s="25"/>
      <c r="EA873" s="25"/>
      <c r="EB873" s="25"/>
      <c r="EC873" s="25"/>
      <c r="ED873" s="25"/>
      <c r="EE873" s="25"/>
      <c r="EF873" s="25"/>
      <c r="EG873" s="25"/>
      <c r="EH873" s="25"/>
      <c r="EI873" s="25"/>
      <c r="EJ873" s="25"/>
      <c r="EK873" s="25"/>
      <c r="EL873" s="25"/>
      <c r="EM873" s="25"/>
      <c r="EN873" s="25"/>
      <c r="EO873" s="25"/>
      <c r="EP873" s="25"/>
      <c r="EQ873" s="25"/>
      <c r="ER873" s="25"/>
      <c r="ES873" s="25"/>
      <c r="ET873" s="25"/>
      <c r="EU873" s="25"/>
      <c r="EV873" s="25"/>
      <c r="EW873" s="25"/>
      <c r="EX873" s="25"/>
      <c r="EY873" s="25"/>
      <c r="EZ873" s="25"/>
      <c r="FA873" s="25"/>
      <c r="FB873" s="25"/>
      <c r="FC873" s="25"/>
      <c r="FD873" s="25"/>
      <c r="FE873" s="25"/>
      <c r="FF873" s="25"/>
      <c r="FG873" s="25"/>
      <c r="FH873" s="25"/>
      <c r="FI873" s="25"/>
      <c r="FJ873" s="25"/>
      <c r="FK873" s="25"/>
      <c r="FL873" s="25"/>
      <c r="FM873" s="25"/>
      <c r="FN873" s="25"/>
      <c r="FO873" s="25"/>
      <c r="FP873" s="25"/>
      <c r="FQ873" s="25"/>
      <c r="FR873" s="25"/>
      <c r="FS873" s="25"/>
      <c r="FT873" s="25"/>
      <c r="FU873" s="25"/>
      <c r="FV873" s="77"/>
      <c r="FW873" s="28"/>
      <c r="FX873" s="28"/>
      <c r="FY873" s="26"/>
      <c r="FZ873" s="26"/>
      <c r="GA873" s="26"/>
      <c r="GB873" s="26"/>
      <c r="GC873" s="26"/>
      <c r="GD873" s="26"/>
      <c r="GE873" s="26"/>
      <c r="GF873" s="26"/>
      <c r="GG873" s="26"/>
      <c r="GH873" s="26"/>
      <c r="GI873" s="26"/>
      <c r="GJ873" s="26"/>
      <c r="GK873" s="26"/>
      <c r="GL873" s="65"/>
      <c r="GM873" s="26"/>
      <c r="GN873" s="26"/>
      <c r="GO873" s="26"/>
      <c r="GP873" s="26"/>
      <c r="GQ873" s="26"/>
      <c r="GR873" s="26"/>
      <c r="GS873" s="64"/>
      <c r="GT873" s="26"/>
      <c r="GU873" s="26"/>
      <c r="GV873" s="26"/>
      <c r="GW873" s="26"/>
      <c r="GX873" s="64"/>
      <c r="GY873" s="26"/>
      <c r="GZ873" s="26"/>
      <c r="HA873" s="26"/>
      <c r="HB873" s="26"/>
      <c r="HC873" s="65"/>
      <c r="HD873" s="26"/>
      <c r="HE873" s="26"/>
      <c r="HF873" s="26">
        <v>50.94</v>
      </c>
      <c r="HG873" s="26"/>
      <c r="HH873" s="65"/>
      <c r="HI873" s="26"/>
      <c r="HJ873" s="26"/>
      <c r="HK873" s="25"/>
      <c r="HL873" s="25"/>
    </row>
    <row r="874" spans="1:220" ht="15.75" customHeight="1" x14ac:dyDescent="0.2">
      <c r="A874" s="58">
        <v>43686.939120370371</v>
      </c>
      <c r="B874" s="32">
        <v>589389</v>
      </c>
      <c r="C874" s="26">
        <v>23.76</v>
      </c>
      <c r="D874" s="86" t="s">
        <v>913</v>
      </c>
      <c r="E874" s="32">
        <f t="shared" si="23"/>
        <v>0</v>
      </c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  <c r="CI874" s="25"/>
      <c r="CJ874" s="25"/>
      <c r="CK874" s="25"/>
      <c r="CL874" s="25"/>
      <c r="CM874" s="25"/>
      <c r="CN874" s="25"/>
      <c r="CO874" s="25"/>
      <c r="CP874" s="25"/>
      <c r="CQ874" s="25"/>
      <c r="CR874" s="25"/>
      <c r="CS874" s="25"/>
      <c r="CT874" s="25"/>
      <c r="CU874" s="25"/>
      <c r="CV874" s="25"/>
      <c r="CW874" s="25"/>
      <c r="CX874" s="25"/>
      <c r="CY874" s="25"/>
      <c r="CZ874" s="25"/>
      <c r="DA874" s="25"/>
      <c r="DB874" s="25"/>
      <c r="DC874" s="25"/>
      <c r="DD874" s="25"/>
      <c r="DE874" s="25"/>
      <c r="DF874" s="25"/>
      <c r="DG874" s="25"/>
      <c r="DH874" s="25"/>
      <c r="DI874" s="25"/>
      <c r="DJ874" s="25"/>
      <c r="DK874" s="25"/>
      <c r="DL874" s="25"/>
      <c r="DM874" s="25"/>
      <c r="DN874" s="25"/>
      <c r="DO874" s="25"/>
      <c r="DP874" s="25"/>
      <c r="DQ874" s="25"/>
      <c r="DR874" s="25"/>
      <c r="DS874" s="25"/>
      <c r="DT874" s="25"/>
      <c r="DU874" s="25"/>
      <c r="DV874" s="25"/>
      <c r="DW874" s="25"/>
      <c r="DX874" s="25"/>
      <c r="DY874" s="25"/>
      <c r="DZ874" s="25"/>
      <c r="EA874" s="25"/>
      <c r="EB874" s="25"/>
      <c r="EC874" s="25"/>
      <c r="ED874" s="25"/>
      <c r="EE874" s="25"/>
      <c r="EF874" s="25"/>
      <c r="EG874" s="25"/>
      <c r="EH874" s="25"/>
      <c r="EI874" s="25"/>
      <c r="EJ874" s="25"/>
      <c r="EK874" s="25"/>
      <c r="EL874" s="25"/>
      <c r="EM874" s="25"/>
      <c r="EN874" s="25"/>
      <c r="EO874" s="25"/>
      <c r="EP874" s="25"/>
      <c r="EQ874" s="25"/>
      <c r="ER874" s="25"/>
      <c r="ES874" s="25"/>
      <c r="ET874" s="25"/>
      <c r="EU874" s="25"/>
      <c r="EV874" s="25"/>
      <c r="EW874" s="25"/>
      <c r="EX874" s="25"/>
      <c r="EY874" s="25"/>
      <c r="EZ874" s="25"/>
      <c r="FA874" s="25"/>
      <c r="FB874" s="25"/>
      <c r="FC874" s="25"/>
      <c r="FD874" s="25"/>
      <c r="FE874" s="25"/>
      <c r="FF874" s="25"/>
      <c r="FG874" s="25"/>
      <c r="FH874" s="25"/>
      <c r="FI874" s="25"/>
      <c r="FJ874" s="25"/>
      <c r="FK874" s="25"/>
      <c r="FL874" s="25"/>
      <c r="FM874" s="25"/>
      <c r="FN874" s="25"/>
      <c r="FO874" s="25"/>
      <c r="FP874" s="25"/>
      <c r="FQ874" s="25"/>
      <c r="FR874" s="25"/>
      <c r="FS874" s="25"/>
      <c r="FT874" s="25"/>
      <c r="FU874" s="25"/>
      <c r="FV874" s="77"/>
      <c r="FW874" s="28"/>
      <c r="FX874" s="28"/>
      <c r="FY874" s="26"/>
      <c r="FZ874" s="26"/>
      <c r="GA874" s="26"/>
      <c r="GB874" s="26"/>
      <c r="GC874" s="26"/>
      <c r="GD874" s="26"/>
      <c r="GE874" s="26"/>
      <c r="GF874" s="26"/>
      <c r="GG874" s="26"/>
      <c r="GH874" s="26"/>
      <c r="GI874" s="26"/>
      <c r="GJ874" s="26"/>
      <c r="GK874" s="26"/>
      <c r="GL874" s="65"/>
      <c r="GM874" s="26"/>
      <c r="GN874" s="26"/>
      <c r="GO874" s="26"/>
      <c r="GP874" s="26"/>
      <c r="GQ874" s="26"/>
      <c r="GR874" s="26"/>
      <c r="GS874" s="64"/>
      <c r="GT874" s="26"/>
      <c r="GU874" s="26"/>
      <c r="GV874" s="26"/>
      <c r="GW874" s="26"/>
      <c r="GX874" s="64"/>
      <c r="GY874" s="26"/>
      <c r="GZ874" s="26"/>
      <c r="HA874" s="26"/>
      <c r="HB874" s="26"/>
      <c r="HC874" s="65"/>
      <c r="HD874" s="26"/>
      <c r="HE874" s="26"/>
      <c r="HF874" s="26">
        <v>23.76</v>
      </c>
      <c r="HG874" s="26"/>
      <c r="HH874" s="65"/>
      <c r="HI874" s="26"/>
      <c r="HJ874" s="26"/>
      <c r="HK874" s="25"/>
      <c r="HL874" s="25"/>
    </row>
    <row r="875" spans="1:220" ht="15.75" customHeight="1" x14ac:dyDescent="0.2">
      <c r="A875" s="58">
        <v>43689.558136574073</v>
      </c>
      <c r="B875" s="32">
        <v>589786</v>
      </c>
      <c r="C875" s="26">
        <v>51.28</v>
      </c>
      <c r="D875" s="86" t="s">
        <v>914</v>
      </c>
      <c r="E875" s="32">
        <f t="shared" si="23"/>
        <v>0</v>
      </c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  <c r="CI875" s="25"/>
      <c r="CJ875" s="25"/>
      <c r="CK875" s="25"/>
      <c r="CL875" s="25"/>
      <c r="CM875" s="25"/>
      <c r="CN875" s="25"/>
      <c r="CO875" s="25"/>
      <c r="CP875" s="25"/>
      <c r="CQ875" s="25"/>
      <c r="CR875" s="25"/>
      <c r="CS875" s="25"/>
      <c r="CT875" s="25"/>
      <c r="CU875" s="25"/>
      <c r="CV875" s="25"/>
      <c r="CW875" s="25"/>
      <c r="CX875" s="25"/>
      <c r="CY875" s="25"/>
      <c r="CZ875" s="25"/>
      <c r="DA875" s="25"/>
      <c r="DB875" s="25"/>
      <c r="DC875" s="25"/>
      <c r="DD875" s="25"/>
      <c r="DE875" s="25"/>
      <c r="DF875" s="25"/>
      <c r="DG875" s="25"/>
      <c r="DH875" s="25"/>
      <c r="DI875" s="25"/>
      <c r="DJ875" s="25"/>
      <c r="DK875" s="25"/>
      <c r="DL875" s="25"/>
      <c r="DM875" s="25"/>
      <c r="DN875" s="25"/>
      <c r="DO875" s="25"/>
      <c r="DP875" s="25"/>
      <c r="DQ875" s="25"/>
      <c r="DR875" s="25"/>
      <c r="DS875" s="25"/>
      <c r="DT875" s="25"/>
      <c r="DU875" s="25"/>
      <c r="DV875" s="25"/>
      <c r="DW875" s="25"/>
      <c r="DX875" s="25"/>
      <c r="DY875" s="25"/>
      <c r="DZ875" s="25"/>
      <c r="EA875" s="25"/>
      <c r="EB875" s="25"/>
      <c r="EC875" s="25"/>
      <c r="ED875" s="25"/>
      <c r="EE875" s="25"/>
      <c r="EF875" s="25"/>
      <c r="EG875" s="25"/>
      <c r="EH875" s="25"/>
      <c r="EI875" s="25"/>
      <c r="EJ875" s="25"/>
      <c r="EK875" s="25"/>
      <c r="EL875" s="25"/>
      <c r="EM875" s="25"/>
      <c r="EN875" s="25"/>
      <c r="EO875" s="25"/>
      <c r="EP875" s="25"/>
      <c r="EQ875" s="25"/>
      <c r="ER875" s="25"/>
      <c r="ES875" s="25"/>
      <c r="ET875" s="25"/>
      <c r="EU875" s="25"/>
      <c r="EV875" s="25"/>
      <c r="EW875" s="25"/>
      <c r="EX875" s="25"/>
      <c r="EY875" s="25"/>
      <c r="EZ875" s="25"/>
      <c r="FA875" s="25"/>
      <c r="FB875" s="25"/>
      <c r="FC875" s="25"/>
      <c r="FD875" s="25"/>
      <c r="FE875" s="25"/>
      <c r="FF875" s="25"/>
      <c r="FG875" s="25"/>
      <c r="FH875" s="25"/>
      <c r="FI875" s="25"/>
      <c r="FJ875" s="25"/>
      <c r="FK875" s="25"/>
      <c r="FL875" s="25"/>
      <c r="FM875" s="25"/>
      <c r="FN875" s="25"/>
      <c r="FO875" s="25"/>
      <c r="FP875" s="25"/>
      <c r="FQ875" s="25"/>
      <c r="FR875" s="25"/>
      <c r="FS875" s="25"/>
      <c r="FT875" s="25"/>
      <c r="FU875" s="25"/>
      <c r="FV875" s="77"/>
      <c r="FW875" s="28"/>
      <c r="FX875" s="28"/>
      <c r="FY875" s="26"/>
      <c r="FZ875" s="26"/>
      <c r="GA875" s="26"/>
      <c r="GB875" s="26"/>
      <c r="GC875" s="26"/>
      <c r="GD875" s="26"/>
      <c r="GE875" s="26"/>
      <c r="GF875" s="26"/>
      <c r="GG875" s="26"/>
      <c r="GH875" s="26"/>
      <c r="GI875" s="26"/>
      <c r="GJ875" s="26"/>
      <c r="GK875" s="26"/>
      <c r="GL875" s="65"/>
      <c r="GM875" s="26"/>
      <c r="GN875" s="26"/>
      <c r="GO875" s="26"/>
      <c r="GP875" s="26"/>
      <c r="GQ875" s="26"/>
      <c r="GR875" s="26"/>
      <c r="GS875" s="64"/>
      <c r="GT875" s="26"/>
      <c r="GU875" s="26"/>
      <c r="GV875" s="26"/>
      <c r="GW875" s="26"/>
      <c r="GX875" s="64"/>
      <c r="GY875" s="26"/>
      <c r="GZ875" s="26"/>
      <c r="HA875" s="26"/>
      <c r="HB875" s="26"/>
      <c r="HC875" s="65"/>
      <c r="HD875" s="26"/>
      <c r="HE875" s="26"/>
      <c r="HF875" s="26">
        <v>51.28</v>
      </c>
      <c r="HG875" s="26"/>
      <c r="HH875" s="65"/>
      <c r="HI875" s="26"/>
      <c r="HJ875" s="26"/>
      <c r="HK875" s="25"/>
      <c r="HL875" s="25"/>
    </row>
    <row r="876" spans="1:220" ht="15.75" customHeight="1" x14ac:dyDescent="0.2">
      <c r="A876" s="58">
        <v>43686.98909722222</v>
      </c>
      <c r="B876" s="32">
        <v>589401</v>
      </c>
      <c r="C876" s="26">
        <v>62.42</v>
      </c>
      <c r="D876" s="86" t="s">
        <v>915</v>
      </c>
      <c r="E876" s="32">
        <f t="shared" si="23"/>
        <v>2.0000000000003126E-2</v>
      </c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  <c r="CI876" s="25"/>
      <c r="CJ876" s="25"/>
      <c r="CK876" s="25"/>
      <c r="CL876" s="25"/>
      <c r="CM876" s="25"/>
      <c r="CN876" s="25"/>
      <c r="CO876" s="25"/>
      <c r="CP876" s="25"/>
      <c r="CQ876" s="25"/>
      <c r="CR876" s="25"/>
      <c r="CS876" s="25"/>
      <c r="CT876" s="25"/>
      <c r="CU876" s="25"/>
      <c r="CV876" s="25"/>
      <c r="CW876" s="25"/>
      <c r="CX876" s="25"/>
      <c r="CY876" s="25"/>
      <c r="CZ876" s="25"/>
      <c r="DA876" s="25"/>
      <c r="DB876" s="25"/>
      <c r="DC876" s="25"/>
      <c r="DD876" s="25"/>
      <c r="DE876" s="25"/>
      <c r="DF876" s="25"/>
      <c r="DG876" s="25"/>
      <c r="DH876" s="25"/>
      <c r="DI876" s="25"/>
      <c r="DJ876" s="25"/>
      <c r="DK876" s="25"/>
      <c r="DL876" s="25"/>
      <c r="DM876" s="25"/>
      <c r="DN876" s="25"/>
      <c r="DO876" s="25"/>
      <c r="DP876" s="25"/>
      <c r="DQ876" s="25"/>
      <c r="DR876" s="25"/>
      <c r="DS876" s="25"/>
      <c r="DT876" s="25"/>
      <c r="DU876" s="25"/>
      <c r="DV876" s="25"/>
      <c r="DW876" s="25"/>
      <c r="DX876" s="25"/>
      <c r="DY876" s="25"/>
      <c r="DZ876" s="25"/>
      <c r="EA876" s="25"/>
      <c r="EB876" s="25"/>
      <c r="EC876" s="25"/>
      <c r="ED876" s="25"/>
      <c r="EE876" s="25"/>
      <c r="EF876" s="25"/>
      <c r="EG876" s="25"/>
      <c r="EH876" s="25"/>
      <c r="EI876" s="25"/>
      <c r="EJ876" s="25"/>
      <c r="EK876" s="25"/>
      <c r="EL876" s="25"/>
      <c r="EM876" s="25"/>
      <c r="EN876" s="25"/>
      <c r="EO876" s="25"/>
      <c r="EP876" s="25"/>
      <c r="EQ876" s="25"/>
      <c r="ER876" s="25"/>
      <c r="ES876" s="25"/>
      <c r="ET876" s="25"/>
      <c r="EU876" s="25"/>
      <c r="EV876" s="25"/>
      <c r="EW876" s="25"/>
      <c r="EX876" s="25"/>
      <c r="EY876" s="25"/>
      <c r="EZ876" s="25"/>
      <c r="FA876" s="25"/>
      <c r="FB876" s="25"/>
      <c r="FC876" s="25"/>
      <c r="FD876" s="25"/>
      <c r="FE876" s="25"/>
      <c r="FF876" s="25"/>
      <c r="FG876" s="25"/>
      <c r="FH876" s="25"/>
      <c r="FI876" s="25"/>
      <c r="FJ876" s="25"/>
      <c r="FK876" s="25"/>
      <c r="FL876" s="25"/>
      <c r="FM876" s="25"/>
      <c r="FN876" s="25"/>
      <c r="FO876" s="25"/>
      <c r="FP876" s="25"/>
      <c r="FQ876" s="25"/>
      <c r="FR876" s="25"/>
      <c r="FS876" s="25"/>
      <c r="FT876" s="25"/>
      <c r="FU876" s="25"/>
      <c r="FV876" s="77"/>
      <c r="FW876" s="28"/>
      <c r="FX876" s="28"/>
      <c r="FY876" s="26"/>
      <c r="FZ876" s="26"/>
      <c r="GA876" s="26"/>
      <c r="GB876" s="26"/>
      <c r="GC876" s="26"/>
      <c r="GD876" s="26"/>
      <c r="GE876" s="26"/>
      <c r="GF876" s="26"/>
      <c r="GG876" s="26"/>
      <c r="GH876" s="26"/>
      <c r="GI876" s="26"/>
      <c r="GJ876" s="26"/>
      <c r="GK876" s="26"/>
      <c r="GL876" s="65"/>
      <c r="GM876" s="26"/>
      <c r="GN876" s="26"/>
      <c r="GO876" s="26"/>
      <c r="GP876" s="26"/>
      <c r="GQ876" s="26"/>
      <c r="GR876" s="26"/>
      <c r="GS876" s="64"/>
      <c r="GT876" s="26"/>
      <c r="GU876" s="26"/>
      <c r="GV876" s="26"/>
      <c r="GW876" s="26"/>
      <c r="GX876" s="64"/>
      <c r="GY876" s="26"/>
      <c r="GZ876" s="26"/>
      <c r="HA876" s="26"/>
      <c r="HB876" s="26"/>
      <c r="HC876" s="65"/>
      <c r="HD876" s="26"/>
      <c r="HE876" s="26">
        <v>62.4</v>
      </c>
      <c r="HF876" s="26"/>
      <c r="HG876" s="26"/>
      <c r="HH876" s="65"/>
      <c r="HI876" s="26"/>
      <c r="HJ876" s="26"/>
      <c r="HK876" s="25"/>
      <c r="HL876" s="25"/>
    </row>
    <row r="877" spans="1:220" ht="15.75" customHeight="1" x14ac:dyDescent="0.2">
      <c r="A877" s="58">
        <v>43686.98909722222</v>
      </c>
      <c r="B877" s="32">
        <v>589401</v>
      </c>
      <c r="C877" s="26">
        <v>64.92</v>
      </c>
      <c r="D877" s="86" t="s">
        <v>916</v>
      </c>
      <c r="E877" s="32">
        <f t="shared" si="23"/>
        <v>1.9999999999996021E-2</v>
      </c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  <c r="CI877" s="25"/>
      <c r="CJ877" s="25"/>
      <c r="CK877" s="25"/>
      <c r="CL877" s="25"/>
      <c r="CM877" s="25"/>
      <c r="CN877" s="25"/>
      <c r="CO877" s="25"/>
      <c r="CP877" s="25"/>
      <c r="CQ877" s="25"/>
      <c r="CR877" s="25"/>
      <c r="CS877" s="25"/>
      <c r="CT877" s="25"/>
      <c r="CU877" s="25"/>
      <c r="CV877" s="25"/>
      <c r="CW877" s="25"/>
      <c r="CX877" s="25"/>
      <c r="CY877" s="25"/>
      <c r="CZ877" s="25"/>
      <c r="DA877" s="25"/>
      <c r="DB877" s="25"/>
      <c r="DC877" s="25"/>
      <c r="DD877" s="25"/>
      <c r="DE877" s="25"/>
      <c r="DF877" s="25"/>
      <c r="DG877" s="25"/>
      <c r="DH877" s="25"/>
      <c r="DI877" s="25"/>
      <c r="DJ877" s="25"/>
      <c r="DK877" s="25"/>
      <c r="DL877" s="25"/>
      <c r="DM877" s="25"/>
      <c r="DN877" s="25"/>
      <c r="DO877" s="25"/>
      <c r="DP877" s="25"/>
      <c r="DQ877" s="25"/>
      <c r="DR877" s="25"/>
      <c r="DS877" s="25"/>
      <c r="DT877" s="25"/>
      <c r="DU877" s="25"/>
      <c r="DV877" s="25"/>
      <c r="DW877" s="25"/>
      <c r="DX877" s="25"/>
      <c r="DY877" s="25"/>
      <c r="DZ877" s="25"/>
      <c r="EA877" s="25"/>
      <c r="EB877" s="25"/>
      <c r="EC877" s="25"/>
      <c r="ED877" s="25"/>
      <c r="EE877" s="25"/>
      <c r="EF877" s="25"/>
      <c r="EG877" s="25"/>
      <c r="EH877" s="25"/>
      <c r="EI877" s="25"/>
      <c r="EJ877" s="25"/>
      <c r="EK877" s="25"/>
      <c r="EL877" s="25"/>
      <c r="EM877" s="25"/>
      <c r="EN877" s="25"/>
      <c r="EO877" s="25"/>
      <c r="EP877" s="25"/>
      <c r="EQ877" s="25"/>
      <c r="ER877" s="25"/>
      <c r="ES877" s="25"/>
      <c r="ET877" s="25"/>
      <c r="EU877" s="25"/>
      <c r="EV877" s="25"/>
      <c r="EW877" s="25"/>
      <c r="EX877" s="25"/>
      <c r="EY877" s="25"/>
      <c r="EZ877" s="25"/>
      <c r="FA877" s="25"/>
      <c r="FB877" s="25"/>
      <c r="FC877" s="25"/>
      <c r="FD877" s="25"/>
      <c r="FE877" s="25"/>
      <c r="FF877" s="25"/>
      <c r="FG877" s="25"/>
      <c r="FH877" s="25"/>
      <c r="FI877" s="25"/>
      <c r="FJ877" s="25"/>
      <c r="FK877" s="25"/>
      <c r="FL877" s="25"/>
      <c r="FM877" s="25"/>
      <c r="FN877" s="25"/>
      <c r="FO877" s="25"/>
      <c r="FP877" s="25"/>
      <c r="FQ877" s="25"/>
      <c r="FR877" s="25"/>
      <c r="FS877" s="25"/>
      <c r="FT877" s="25"/>
      <c r="FU877" s="25"/>
      <c r="FV877" s="77"/>
      <c r="FW877" s="28"/>
      <c r="FX877" s="28"/>
      <c r="FY877" s="26"/>
      <c r="FZ877" s="26"/>
      <c r="GA877" s="26"/>
      <c r="GB877" s="26"/>
      <c r="GC877" s="26"/>
      <c r="GD877" s="26"/>
      <c r="GE877" s="26"/>
      <c r="GF877" s="26"/>
      <c r="GG877" s="26"/>
      <c r="GH877" s="26"/>
      <c r="GI877" s="26"/>
      <c r="GJ877" s="26"/>
      <c r="GK877" s="26"/>
      <c r="GL877" s="65"/>
      <c r="GM877" s="26"/>
      <c r="GN877" s="26"/>
      <c r="GO877" s="26"/>
      <c r="GP877" s="26"/>
      <c r="GQ877" s="26"/>
      <c r="GR877" s="26"/>
      <c r="GS877" s="64"/>
      <c r="GT877" s="26"/>
      <c r="GU877" s="26"/>
      <c r="GV877" s="26"/>
      <c r="GW877" s="26"/>
      <c r="GX877" s="64"/>
      <c r="GY877" s="26"/>
      <c r="GZ877" s="26"/>
      <c r="HA877" s="26"/>
      <c r="HB877" s="26"/>
      <c r="HC877" s="65"/>
      <c r="HD877" s="26"/>
      <c r="HE877" s="26"/>
      <c r="HF877" s="26"/>
      <c r="HG877" s="26"/>
      <c r="HH877" s="65">
        <v>64.900000000000006</v>
      </c>
      <c r="HI877" s="26"/>
      <c r="HJ877" s="26"/>
      <c r="HK877" s="25"/>
      <c r="HL877" s="25"/>
    </row>
    <row r="878" spans="1:220" ht="15.75" customHeight="1" x14ac:dyDescent="0.2">
      <c r="A878" s="58">
        <v>43686.397280092591</v>
      </c>
      <c r="B878" s="32">
        <v>589312</v>
      </c>
      <c r="C878" s="26">
        <v>26.48</v>
      </c>
      <c r="D878" s="86" t="s">
        <v>917</v>
      </c>
      <c r="E878" s="32">
        <f t="shared" si="23"/>
        <v>-1.9999999999999574E-2</v>
      </c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  <c r="CI878" s="25"/>
      <c r="CJ878" s="25"/>
      <c r="CK878" s="25"/>
      <c r="CL878" s="25"/>
      <c r="CM878" s="25"/>
      <c r="CN878" s="25"/>
      <c r="CO878" s="25"/>
      <c r="CP878" s="25"/>
      <c r="CQ878" s="25"/>
      <c r="CR878" s="25"/>
      <c r="CS878" s="25"/>
      <c r="CT878" s="25"/>
      <c r="CU878" s="25"/>
      <c r="CV878" s="25"/>
      <c r="CW878" s="25"/>
      <c r="CX878" s="25"/>
      <c r="CY878" s="25"/>
      <c r="CZ878" s="25"/>
      <c r="DA878" s="25"/>
      <c r="DB878" s="25"/>
      <c r="DC878" s="25"/>
      <c r="DD878" s="25"/>
      <c r="DE878" s="25"/>
      <c r="DF878" s="25"/>
      <c r="DG878" s="25"/>
      <c r="DH878" s="25"/>
      <c r="DI878" s="25"/>
      <c r="DJ878" s="25"/>
      <c r="DK878" s="25"/>
      <c r="DL878" s="25"/>
      <c r="DM878" s="25"/>
      <c r="DN878" s="25"/>
      <c r="DO878" s="25"/>
      <c r="DP878" s="25"/>
      <c r="DQ878" s="25"/>
      <c r="DR878" s="25"/>
      <c r="DS878" s="25"/>
      <c r="DT878" s="25"/>
      <c r="DU878" s="25"/>
      <c r="DV878" s="25"/>
      <c r="DW878" s="25"/>
      <c r="DX878" s="25"/>
      <c r="DY878" s="25"/>
      <c r="DZ878" s="25"/>
      <c r="EA878" s="25"/>
      <c r="EB878" s="25"/>
      <c r="EC878" s="25"/>
      <c r="ED878" s="25"/>
      <c r="EE878" s="25"/>
      <c r="EF878" s="25"/>
      <c r="EG878" s="25"/>
      <c r="EH878" s="25"/>
      <c r="EI878" s="25"/>
      <c r="EJ878" s="25"/>
      <c r="EK878" s="25"/>
      <c r="EL878" s="25"/>
      <c r="EM878" s="25"/>
      <c r="EN878" s="25"/>
      <c r="EO878" s="25"/>
      <c r="EP878" s="25"/>
      <c r="EQ878" s="25"/>
      <c r="ER878" s="25"/>
      <c r="ES878" s="25"/>
      <c r="ET878" s="25"/>
      <c r="EU878" s="25"/>
      <c r="EV878" s="25"/>
      <c r="EW878" s="25"/>
      <c r="EX878" s="25"/>
      <c r="EY878" s="25"/>
      <c r="EZ878" s="25"/>
      <c r="FA878" s="25"/>
      <c r="FB878" s="25"/>
      <c r="FC878" s="25"/>
      <c r="FD878" s="25"/>
      <c r="FE878" s="25"/>
      <c r="FF878" s="25"/>
      <c r="FG878" s="25"/>
      <c r="FH878" s="25"/>
      <c r="FI878" s="25"/>
      <c r="FJ878" s="25"/>
      <c r="FK878" s="25"/>
      <c r="FL878" s="25"/>
      <c r="FM878" s="25"/>
      <c r="FN878" s="25"/>
      <c r="FO878" s="25"/>
      <c r="FP878" s="25"/>
      <c r="FQ878" s="25"/>
      <c r="FR878" s="25"/>
      <c r="FS878" s="25"/>
      <c r="FT878" s="25"/>
      <c r="FU878" s="25"/>
      <c r="FV878" s="77"/>
      <c r="FW878" s="28"/>
      <c r="FX878" s="28"/>
      <c r="FY878" s="26"/>
      <c r="FZ878" s="26"/>
      <c r="GA878" s="26"/>
      <c r="GB878" s="26"/>
      <c r="GC878" s="26"/>
      <c r="GD878" s="26"/>
      <c r="GE878" s="26"/>
      <c r="GF878" s="26"/>
      <c r="GG878" s="26"/>
      <c r="GH878" s="26"/>
      <c r="GI878" s="26"/>
      <c r="GJ878" s="26"/>
      <c r="GK878" s="26"/>
      <c r="GL878" s="65"/>
      <c r="GM878" s="26"/>
      <c r="GN878" s="26"/>
      <c r="GO878" s="26"/>
      <c r="GP878" s="26"/>
      <c r="GQ878" s="26"/>
      <c r="GR878" s="26"/>
      <c r="GS878" s="64"/>
      <c r="GT878" s="26"/>
      <c r="GU878" s="26"/>
      <c r="GV878" s="26"/>
      <c r="GW878" s="26"/>
      <c r="GX878" s="64"/>
      <c r="GY878" s="26"/>
      <c r="GZ878" s="26"/>
      <c r="HA878" s="26"/>
      <c r="HB878" s="26"/>
      <c r="HC878" s="65"/>
      <c r="HD878" s="26"/>
      <c r="HE878" s="26"/>
      <c r="HF878" s="26"/>
      <c r="HG878" s="26"/>
      <c r="HH878" s="65"/>
      <c r="HI878" s="26">
        <v>26.5</v>
      </c>
      <c r="HJ878" s="26"/>
      <c r="HK878" s="25"/>
      <c r="HL878" s="25"/>
    </row>
    <row r="879" spans="1:220" ht="15.75" customHeight="1" x14ac:dyDescent="0.2">
      <c r="A879" s="58">
        <v>43686.397280092591</v>
      </c>
      <c r="B879" s="32">
        <v>589312</v>
      </c>
      <c r="C879" s="26">
        <v>12.31</v>
      </c>
      <c r="D879" s="86" t="s">
        <v>918</v>
      </c>
      <c r="E879" s="32">
        <f t="shared" si="23"/>
        <v>0</v>
      </c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  <c r="CL879" s="25"/>
      <c r="CM879" s="25"/>
      <c r="CN879" s="25"/>
      <c r="CO879" s="25"/>
      <c r="CP879" s="25"/>
      <c r="CQ879" s="25"/>
      <c r="CR879" s="25"/>
      <c r="CS879" s="25"/>
      <c r="CT879" s="25"/>
      <c r="CU879" s="25"/>
      <c r="CV879" s="25"/>
      <c r="CW879" s="25"/>
      <c r="CX879" s="25"/>
      <c r="CY879" s="25"/>
      <c r="CZ879" s="25"/>
      <c r="DA879" s="25"/>
      <c r="DB879" s="25"/>
      <c r="DC879" s="25"/>
      <c r="DD879" s="25"/>
      <c r="DE879" s="25"/>
      <c r="DF879" s="25"/>
      <c r="DG879" s="25"/>
      <c r="DH879" s="25"/>
      <c r="DI879" s="25"/>
      <c r="DJ879" s="25"/>
      <c r="DK879" s="25"/>
      <c r="DL879" s="25"/>
      <c r="DM879" s="25"/>
      <c r="DN879" s="25"/>
      <c r="DO879" s="25"/>
      <c r="DP879" s="25"/>
      <c r="DQ879" s="25"/>
      <c r="DR879" s="25"/>
      <c r="DS879" s="25"/>
      <c r="DT879" s="25"/>
      <c r="DU879" s="25"/>
      <c r="DV879" s="25"/>
      <c r="DW879" s="25"/>
      <c r="DX879" s="25"/>
      <c r="DY879" s="25"/>
      <c r="DZ879" s="25"/>
      <c r="EA879" s="25"/>
      <c r="EB879" s="25"/>
      <c r="EC879" s="25"/>
      <c r="ED879" s="25"/>
      <c r="EE879" s="25"/>
      <c r="EF879" s="25"/>
      <c r="EG879" s="25"/>
      <c r="EH879" s="25"/>
      <c r="EI879" s="25"/>
      <c r="EJ879" s="25"/>
      <c r="EK879" s="25"/>
      <c r="EL879" s="25"/>
      <c r="EM879" s="25"/>
      <c r="EN879" s="25"/>
      <c r="EO879" s="25"/>
      <c r="EP879" s="25"/>
      <c r="EQ879" s="25"/>
      <c r="ER879" s="25"/>
      <c r="ES879" s="25"/>
      <c r="ET879" s="25"/>
      <c r="EU879" s="25"/>
      <c r="EV879" s="25"/>
      <c r="EW879" s="25"/>
      <c r="EX879" s="25"/>
      <c r="EY879" s="25"/>
      <c r="EZ879" s="25"/>
      <c r="FA879" s="25"/>
      <c r="FB879" s="25"/>
      <c r="FC879" s="25"/>
      <c r="FD879" s="25"/>
      <c r="FE879" s="25"/>
      <c r="FF879" s="25"/>
      <c r="FG879" s="25"/>
      <c r="FH879" s="25"/>
      <c r="FI879" s="25"/>
      <c r="FJ879" s="25"/>
      <c r="FK879" s="25"/>
      <c r="FL879" s="25"/>
      <c r="FM879" s="25"/>
      <c r="FN879" s="25"/>
      <c r="FO879" s="25"/>
      <c r="FP879" s="25"/>
      <c r="FQ879" s="25"/>
      <c r="FR879" s="25"/>
      <c r="FS879" s="25"/>
      <c r="FT879" s="25"/>
      <c r="FU879" s="25"/>
      <c r="FV879" s="77"/>
      <c r="FW879" s="28"/>
      <c r="FX879" s="28"/>
      <c r="FY879" s="26"/>
      <c r="FZ879" s="26"/>
      <c r="GA879" s="26"/>
      <c r="GB879" s="26"/>
      <c r="GC879" s="26"/>
      <c r="GD879" s="26"/>
      <c r="GE879" s="26"/>
      <c r="GF879" s="26"/>
      <c r="GG879" s="26"/>
      <c r="GH879" s="26"/>
      <c r="GI879" s="26"/>
      <c r="GJ879" s="26"/>
      <c r="GK879" s="26"/>
      <c r="GL879" s="65"/>
      <c r="GM879" s="26"/>
      <c r="GN879" s="26"/>
      <c r="GO879" s="26"/>
      <c r="GP879" s="26"/>
      <c r="GQ879" s="26"/>
      <c r="GR879" s="26"/>
      <c r="GS879" s="64"/>
      <c r="GT879" s="26"/>
      <c r="GU879" s="26"/>
      <c r="GV879" s="26"/>
      <c r="GW879" s="26"/>
      <c r="GX879" s="64"/>
      <c r="GY879" s="26"/>
      <c r="GZ879" s="26"/>
      <c r="HA879" s="26"/>
      <c r="HB879" s="26"/>
      <c r="HC879" s="65"/>
      <c r="HD879" s="26"/>
      <c r="HE879" s="26"/>
      <c r="HF879" s="26"/>
      <c r="HG879" s="26"/>
      <c r="HH879" s="65"/>
      <c r="HI879" s="26">
        <v>12.31</v>
      </c>
      <c r="HJ879" s="26"/>
      <c r="HK879" s="25"/>
      <c r="HL879" s="25"/>
    </row>
    <row r="880" spans="1:220" ht="15.75" customHeight="1" x14ac:dyDescent="0.2">
      <c r="A880" s="58">
        <v>43686.538136574076</v>
      </c>
      <c r="B880" s="32">
        <v>589330</v>
      </c>
      <c r="C880" s="26">
        <v>30</v>
      </c>
      <c r="D880" s="86" t="s">
        <v>919</v>
      </c>
      <c r="E880" s="32">
        <f t="shared" si="23"/>
        <v>0</v>
      </c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  <c r="CI880" s="25"/>
      <c r="CJ880" s="25"/>
      <c r="CK880" s="25"/>
      <c r="CL880" s="25"/>
      <c r="CM880" s="25"/>
      <c r="CN880" s="25"/>
      <c r="CO880" s="25"/>
      <c r="CP880" s="25"/>
      <c r="CQ880" s="25"/>
      <c r="CR880" s="25"/>
      <c r="CS880" s="25"/>
      <c r="CT880" s="25"/>
      <c r="CU880" s="25"/>
      <c r="CV880" s="25"/>
      <c r="CW880" s="25"/>
      <c r="CX880" s="25"/>
      <c r="CY880" s="25"/>
      <c r="CZ880" s="25"/>
      <c r="DA880" s="25"/>
      <c r="DB880" s="25"/>
      <c r="DC880" s="25"/>
      <c r="DD880" s="25"/>
      <c r="DE880" s="25"/>
      <c r="DF880" s="25"/>
      <c r="DG880" s="25"/>
      <c r="DH880" s="25"/>
      <c r="DI880" s="25"/>
      <c r="DJ880" s="25"/>
      <c r="DK880" s="25"/>
      <c r="DL880" s="25"/>
      <c r="DM880" s="25"/>
      <c r="DN880" s="25"/>
      <c r="DO880" s="25"/>
      <c r="DP880" s="25"/>
      <c r="DQ880" s="25"/>
      <c r="DR880" s="25"/>
      <c r="DS880" s="25"/>
      <c r="DT880" s="25"/>
      <c r="DU880" s="25"/>
      <c r="DV880" s="25"/>
      <c r="DW880" s="25"/>
      <c r="DX880" s="25"/>
      <c r="DY880" s="25"/>
      <c r="DZ880" s="25"/>
      <c r="EA880" s="25"/>
      <c r="EB880" s="25"/>
      <c r="EC880" s="25"/>
      <c r="ED880" s="25"/>
      <c r="EE880" s="25"/>
      <c r="EF880" s="25"/>
      <c r="EG880" s="25"/>
      <c r="EH880" s="25"/>
      <c r="EI880" s="25"/>
      <c r="EJ880" s="25"/>
      <c r="EK880" s="25"/>
      <c r="EL880" s="25"/>
      <c r="EM880" s="25"/>
      <c r="EN880" s="25"/>
      <c r="EO880" s="25"/>
      <c r="EP880" s="25"/>
      <c r="EQ880" s="25"/>
      <c r="ER880" s="25"/>
      <c r="ES880" s="25"/>
      <c r="ET880" s="25"/>
      <c r="EU880" s="25"/>
      <c r="EV880" s="25"/>
      <c r="EW880" s="25"/>
      <c r="EX880" s="25"/>
      <c r="EY880" s="25"/>
      <c r="EZ880" s="25"/>
      <c r="FA880" s="25"/>
      <c r="FB880" s="25"/>
      <c r="FC880" s="25"/>
      <c r="FD880" s="25"/>
      <c r="FE880" s="25"/>
      <c r="FF880" s="25"/>
      <c r="FG880" s="25"/>
      <c r="FH880" s="25"/>
      <c r="FI880" s="25"/>
      <c r="FJ880" s="25"/>
      <c r="FK880" s="25"/>
      <c r="FL880" s="25"/>
      <c r="FM880" s="25"/>
      <c r="FN880" s="25"/>
      <c r="FO880" s="25"/>
      <c r="FP880" s="25"/>
      <c r="FQ880" s="25"/>
      <c r="FR880" s="25"/>
      <c r="FS880" s="25"/>
      <c r="FT880" s="25"/>
      <c r="FU880" s="25"/>
      <c r="FV880" s="27"/>
      <c r="FW880" s="27"/>
      <c r="FX880" s="27"/>
      <c r="FY880" s="25"/>
      <c r="FZ880" s="25"/>
      <c r="GA880" s="25"/>
      <c r="GB880" s="25"/>
      <c r="GC880" s="25"/>
      <c r="GD880" s="25"/>
      <c r="GE880" s="25"/>
      <c r="GF880" s="25"/>
      <c r="GG880" s="25"/>
      <c r="GH880" s="25"/>
      <c r="GI880" s="25"/>
      <c r="GJ880" s="25"/>
      <c r="GK880" s="25"/>
      <c r="GL880" s="65"/>
      <c r="GM880" s="25"/>
      <c r="GN880" s="25"/>
      <c r="GO880" s="25"/>
      <c r="GP880" s="25"/>
      <c r="GQ880" s="25"/>
      <c r="GR880" s="25"/>
      <c r="GS880" s="64"/>
      <c r="GT880" s="25"/>
      <c r="GU880" s="25"/>
      <c r="GV880" s="25"/>
      <c r="GW880" s="25"/>
      <c r="GX880" s="64"/>
      <c r="GY880" s="25"/>
      <c r="GZ880" s="25"/>
      <c r="HA880" s="25"/>
      <c r="HB880" s="25"/>
      <c r="HC880" s="65"/>
      <c r="HD880" s="25"/>
      <c r="HE880" s="25"/>
      <c r="HF880" s="25"/>
      <c r="HG880" s="25"/>
      <c r="HH880" s="65"/>
      <c r="HI880" s="26">
        <v>30</v>
      </c>
      <c r="HJ880" s="25"/>
      <c r="HK880" s="25"/>
      <c r="HL880" s="25"/>
    </row>
    <row r="881" spans="1:220" ht="15.75" customHeight="1" x14ac:dyDescent="0.2">
      <c r="A881" s="58">
        <v>43686.585601851853</v>
      </c>
      <c r="B881" s="32">
        <v>589388</v>
      </c>
      <c r="C881" s="26">
        <v>100</v>
      </c>
      <c r="D881" s="86" t="s">
        <v>920</v>
      </c>
      <c r="E881" s="32">
        <f t="shared" si="23"/>
        <v>0</v>
      </c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  <c r="CL881" s="25"/>
      <c r="CM881" s="25"/>
      <c r="CN881" s="25"/>
      <c r="CO881" s="25"/>
      <c r="CP881" s="25"/>
      <c r="CQ881" s="25"/>
      <c r="CR881" s="25"/>
      <c r="CS881" s="25"/>
      <c r="CT881" s="25"/>
      <c r="CU881" s="25"/>
      <c r="CV881" s="25"/>
      <c r="CW881" s="25"/>
      <c r="CX881" s="25"/>
      <c r="CY881" s="25"/>
      <c r="CZ881" s="25"/>
      <c r="DA881" s="25"/>
      <c r="DB881" s="25"/>
      <c r="DC881" s="25"/>
      <c r="DD881" s="25"/>
      <c r="DE881" s="25"/>
      <c r="DF881" s="25"/>
      <c r="DG881" s="25"/>
      <c r="DH881" s="25"/>
      <c r="DI881" s="25"/>
      <c r="DJ881" s="25"/>
      <c r="DK881" s="25"/>
      <c r="DL881" s="25"/>
      <c r="DM881" s="25"/>
      <c r="DN881" s="25"/>
      <c r="DO881" s="25"/>
      <c r="DP881" s="25"/>
      <c r="DQ881" s="25"/>
      <c r="DR881" s="25"/>
      <c r="DS881" s="25"/>
      <c r="DT881" s="25"/>
      <c r="DU881" s="25"/>
      <c r="DV881" s="25"/>
      <c r="DW881" s="25"/>
      <c r="DX881" s="25"/>
      <c r="DY881" s="25"/>
      <c r="DZ881" s="25"/>
      <c r="EA881" s="25"/>
      <c r="EB881" s="25"/>
      <c r="EC881" s="25"/>
      <c r="ED881" s="25"/>
      <c r="EE881" s="25"/>
      <c r="EF881" s="25"/>
      <c r="EG881" s="25"/>
      <c r="EH881" s="25"/>
      <c r="EI881" s="25"/>
      <c r="EJ881" s="25"/>
      <c r="EK881" s="25"/>
      <c r="EL881" s="25"/>
      <c r="EM881" s="25"/>
      <c r="EN881" s="25"/>
      <c r="EO881" s="25"/>
      <c r="EP881" s="25"/>
      <c r="EQ881" s="25"/>
      <c r="ER881" s="25"/>
      <c r="ES881" s="25"/>
      <c r="ET881" s="25"/>
      <c r="EU881" s="25"/>
      <c r="EV881" s="25"/>
      <c r="EW881" s="25"/>
      <c r="EX881" s="25"/>
      <c r="EY881" s="25"/>
      <c r="EZ881" s="25"/>
      <c r="FA881" s="25"/>
      <c r="FB881" s="25"/>
      <c r="FC881" s="25"/>
      <c r="FD881" s="25"/>
      <c r="FE881" s="25"/>
      <c r="FF881" s="25"/>
      <c r="FG881" s="25"/>
      <c r="FH881" s="25"/>
      <c r="FI881" s="25"/>
      <c r="FJ881" s="25"/>
      <c r="FK881" s="25"/>
      <c r="FL881" s="25"/>
      <c r="FM881" s="25"/>
      <c r="FN881" s="25"/>
      <c r="FO881" s="25"/>
      <c r="FP881" s="25"/>
      <c r="FQ881" s="25"/>
      <c r="FR881" s="25"/>
      <c r="FS881" s="25"/>
      <c r="FT881" s="25"/>
      <c r="FU881" s="25"/>
      <c r="FV881" s="27"/>
      <c r="FW881" s="27"/>
      <c r="FX881" s="27"/>
      <c r="FY881" s="25"/>
      <c r="FZ881" s="25"/>
      <c r="GA881" s="25"/>
      <c r="GB881" s="25"/>
      <c r="GC881" s="25"/>
      <c r="GD881" s="25"/>
      <c r="GE881" s="25"/>
      <c r="GF881" s="25"/>
      <c r="GG881" s="25"/>
      <c r="GH881" s="25"/>
      <c r="GI881" s="25"/>
      <c r="GJ881" s="25"/>
      <c r="GK881" s="25"/>
      <c r="GL881" s="65"/>
      <c r="GM881" s="25"/>
      <c r="GN881" s="25"/>
      <c r="GO881" s="25"/>
      <c r="GP881" s="25"/>
      <c r="GQ881" s="25"/>
      <c r="GR881" s="25"/>
      <c r="GS881" s="64"/>
      <c r="GT881" s="25"/>
      <c r="GU881" s="25"/>
      <c r="GV881" s="25"/>
      <c r="GW881" s="25"/>
      <c r="GX881" s="64"/>
      <c r="GY881" s="25"/>
      <c r="GZ881" s="25"/>
      <c r="HA881" s="25"/>
      <c r="HB881" s="25"/>
      <c r="HC881" s="65"/>
      <c r="HD881" s="25"/>
      <c r="HE881" s="25"/>
      <c r="HF881" s="25"/>
      <c r="HG881" s="25"/>
      <c r="HH881" s="65"/>
      <c r="HI881" s="26">
        <v>100</v>
      </c>
      <c r="HJ881" s="25"/>
      <c r="HK881" s="25"/>
      <c r="HL881" s="25"/>
    </row>
    <row r="882" spans="1:220" ht="15.75" customHeight="1" x14ac:dyDescent="0.2">
      <c r="A882" s="58">
        <v>43686.589502314811</v>
      </c>
      <c r="B882" s="32">
        <v>589339</v>
      </c>
      <c r="C882" s="26">
        <v>30.1</v>
      </c>
      <c r="D882" s="86" t="s">
        <v>921</v>
      </c>
      <c r="E882" s="32">
        <f t="shared" si="23"/>
        <v>20</v>
      </c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  <c r="CM882" s="25"/>
      <c r="CN882" s="25"/>
      <c r="CO882" s="25"/>
      <c r="CP882" s="25"/>
      <c r="CQ882" s="25"/>
      <c r="CR882" s="25"/>
      <c r="CS882" s="25"/>
      <c r="CT882" s="25"/>
      <c r="CU882" s="25"/>
      <c r="CV882" s="25"/>
      <c r="CW882" s="25"/>
      <c r="CX882" s="25"/>
      <c r="CY882" s="25"/>
      <c r="CZ882" s="25"/>
      <c r="DA882" s="25"/>
      <c r="DB882" s="25"/>
      <c r="DC882" s="25"/>
      <c r="DD882" s="25"/>
      <c r="DE882" s="25"/>
      <c r="DF882" s="25"/>
      <c r="DG882" s="25"/>
      <c r="DH882" s="25"/>
      <c r="DI882" s="25"/>
      <c r="DJ882" s="25"/>
      <c r="DK882" s="25"/>
      <c r="DL882" s="25"/>
      <c r="DM882" s="25"/>
      <c r="DN882" s="25"/>
      <c r="DO882" s="25"/>
      <c r="DP882" s="25"/>
      <c r="DQ882" s="25"/>
      <c r="DR882" s="25"/>
      <c r="DS882" s="25"/>
      <c r="DT882" s="25"/>
      <c r="DU882" s="25"/>
      <c r="DV882" s="25"/>
      <c r="DW882" s="25"/>
      <c r="DX882" s="25"/>
      <c r="DY882" s="25"/>
      <c r="DZ882" s="25"/>
      <c r="EA882" s="25"/>
      <c r="EB882" s="25"/>
      <c r="EC882" s="25"/>
      <c r="ED882" s="25"/>
      <c r="EE882" s="25"/>
      <c r="EF882" s="25"/>
      <c r="EG882" s="25"/>
      <c r="EH882" s="25"/>
      <c r="EI882" s="25"/>
      <c r="EJ882" s="25"/>
      <c r="EK882" s="25"/>
      <c r="EL882" s="25"/>
      <c r="EM882" s="25"/>
      <c r="EN882" s="25"/>
      <c r="EO882" s="25"/>
      <c r="EP882" s="25"/>
      <c r="EQ882" s="25"/>
      <c r="ER882" s="25"/>
      <c r="ES882" s="25"/>
      <c r="ET882" s="25"/>
      <c r="EU882" s="25"/>
      <c r="EV882" s="25"/>
      <c r="EW882" s="25"/>
      <c r="EX882" s="25"/>
      <c r="EY882" s="25"/>
      <c r="EZ882" s="25"/>
      <c r="FA882" s="25"/>
      <c r="FB882" s="25"/>
      <c r="FC882" s="25"/>
      <c r="FD882" s="25"/>
      <c r="FE882" s="25"/>
      <c r="FF882" s="25"/>
      <c r="FG882" s="25"/>
      <c r="FH882" s="25"/>
      <c r="FI882" s="25"/>
      <c r="FJ882" s="25"/>
      <c r="FK882" s="25"/>
      <c r="FL882" s="25"/>
      <c r="FM882" s="25"/>
      <c r="FN882" s="25"/>
      <c r="FO882" s="25"/>
      <c r="FP882" s="25"/>
      <c r="FQ882" s="25"/>
      <c r="FR882" s="25"/>
      <c r="FS882" s="25"/>
      <c r="FT882" s="25"/>
      <c r="FU882" s="25"/>
      <c r="FV882" s="27"/>
      <c r="FW882" s="27"/>
      <c r="FX882" s="27"/>
      <c r="FY882" s="25"/>
      <c r="FZ882" s="25"/>
      <c r="GA882" s="25"/>
      <c r="GB882" s="25"/>
      <c r="GC882" s="25"/>
      <c r="GD882" s="25"/>
      <c r="GE882" s="25"/>
      <c r="GF882" s="25"/>
      <c r="GG882" s="25"/>
      <c r="GH882" s="25"/>
      <c r="GI882" s="25"/>
      <c r="GJ882" s="25"/>
      <c r="GK882" s="25"/>
      <c r="GL882" s="65"/>
      <c r="GM882" s="25"/>
      <c r="GN882" s="25"/>
      <c r="GO882" s="25"/>
      <c r="GP882" s="25"/>
      <c r="GQ882" s="25"/>
      <c r="GR882" s="25"/>
      <c r="GS882" s="64"/>
      <c r="GT882" s="25"/>
      <c r="GU882" s="25"/>
      <c r="GV882" s="25"/>
      <c r="GW882" s="25"/>
      <c r="GX882" s="64"/>
      <c r="GY882" s="25"/>
      <c r="GZ882" s="25"/>
      <c r="HA882" s="25"/>
      <c r="HB882" s="25"/>
      <c r="HC882" s="65"/>
      <c r="HD882" s="25"/>
      <c r="HE882" s="25"/>
      <c r="HF882" s="25"/>
      <c r="HG882" s="25"/>
      <c r="HH882" s="65"/>
      <c r="HI882" s="26">
        <v>10.1</v>
      </c>
      <c r="HJ882" s="25"/>
      <c r="HK882" s="25"/>
      <c r="HL882" s="25"/>
    </row>
    <row r="883" spans="1:220" ht="15.75" customHeight="1" x14ac:dyDescent="0.2">
      <c r="A883" s="58">
        <v>43686.603252314817</v>
      </c>
      <c r="B883" s="32">
        <v>589344</v>
      </c>
      <c r="C883" s="26">
        <v>30.1</v>
      </c>
      <c r="D883" s="86" t="s">
        <v>922</v>
      </c>
      <c r="E883" s="32">
        <f t="shared" si="23"/>
        <v>-19.899999999999999</v>
      </c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  <c r="CI883" s="25"/>
      <c r="CJ883" s="25"/>
      <c r="CK883" s="25"/>
      <c r="CL883" s="25"/>
      <c r="CM883" s="25"/>
      <c r="CN883" s="25"/>
      <c r="CO883" s="25"/>
      <c r="CP883" s="25"/>
      <c r="CQ883" s="25"/>
      <c r="CR883" s="25"/>
      <c r="CS883" s="25"/>
      <c r="CT883" s="25"/>
      <c r="CU883" s="25"/>
      <c r="CV883" s="25"/>
      <c r="CW883" s="25"/>
      <c r="CX883" s="25"/>
      <c r="CY883" s="25"/>
      <c r="CZ883" s="25"/>
      <c r="DA883" s="25"/>
      <c r="DB883" s="25"/>
      <c r="DC883" s="25"/>
      <c r="DD883" s="25"/>
      <c r="DE883" s="25"/>
      <c r="DF883" s="25"/>
      <c r="DG883" s="25"/>
      <c r="DH883" s="25"/>
      <c r="DI883" s="25"/>
      <c r="DJ883" s="25"/>
      <c r="DK883" s="25"/>
      <c r="DL883" s="25"/>
      <c r="DM883" s="25"/>
      <c r="DN883" s="25"/>
      <c r="DO883" s="25"/>
      <c r="DP883" s="25"/>
      <c r="DQ883" s="25"/>
      <c r="DR883" s="25"/>
      <c r="DS883" s="25"/>
      <c r="DT883" s="25"/>
      <c r="DU883" s="25"/>
      <c r="DV883" s="25"/>
      <c r="DW883" s="25"/>
      <c r="DX883" s="25"/>
      <c r="DY883" s="25"/>
      <c r="DZ883" s="25"/>
      <c r="EA883" s="25"/>
      <c r="EB883" s="25"/>
      <c r="EC883" s="25"/>
      <c r="ED883" s="25"/>
      <c r="EE883" s="25"/>
      <c r="EF883" s="25"/>
      <c r="EG883" s="25"/>
      <c r="EH883" s="25"/>
      <c r="EI883" s="25"/>
      <c r="EJ883" s="25"/>
      <c r="EK883" s="25"/>
      <c r="EL883" s="25"/>
      <c r="EM883" s="25"/>
      <c r="EN883" s="25"/>
      <c r="EO883" s="25"/>
      <c r="EP883" s="25"/>
      <c r="EQ883" s="25"/>
      <c r="ER883" s="25"/>
      <c r="ES883" s="25"/>
      <c r="ET883" s="25"/>
      <c r="EU883" s="25"/>
      <c r="EV883" s="25"/>
      <c r="EW883" s="25"/>
      <c r="EX883" s="25"/>
      <c r="EY883" s="25"/>
      <c r="EZ883" s="25"/>
      <c r="FA883" s="25"/>
      <c r="FB883" s="25"/>
      <c r="FC883" s="25"/>
      <c r="FD883" s="25"/>
      <c r="FE883" s="25"/>
      <c r="FF883" s="25"/>
      <c r="FG883" s="25"/>
      <c r="FH883" s="25"/>
      <c r="FI883" s="25"/>
      <c r="FJ883" s="25"/>
      <c r="FK883" s="25"/>
      <c r="FL883" s="25"/>
      <c r="FM883" s="25"/>
      <c r="FN883" s="25"/>
      <c r="FO883" s="25"/>
      <c r="FP883" s="25"/>
      <c r="FQ883" s="25"/>
      <c r="FR883" s="25"/>
      <c r="FS883" s="25"/>
      <c r="FT883" s="25"/>
      <c r="FU883" s="25"/>
      <c r="FV883" s="27"/>
      <c r="FW883" s="27"/>
      <c r="FX883" s="27"/>
      <c r="FY883" s="25"/>
      <c r="FZ883" s="25"/>
      <c r="GA883" s="25"/>
      <c r="GB883" s="25"/>
      <c r="GC883" s="25"/>
      <c r="GD883" s="25"/>
      <c r="GE883" s="25"/>
      <c r="GF883" s="25"/>
      <c r="GG883" s="25"/>
      <c r="GH883" s="25"/>
      <c r="GI883" s="25"/>
      <c r="GJ883" s="25"/>
      <c r="GK883" s="25"/>
      <c r="GL883" s="65"/>
      <c r="GM883" s="25"/>
      <c r="GN883" s="25"/>
      <c r="GO883" s="25"/>
      <c r="GP883" s="25"/>
      <c r="GQ883" s="25"/>
      <c r="GR883" s="25"/>
      <c r="GS883" s="64"/>
      <c r="GT883" s="25"/>
      <c r="GU883" s="25"/>
      <c r="GV883" s="25"/>
      <c r="GW883" s="25"/>
      <c r="GX883" s="64"/>
      <c r="GY883" s="25"/>
      <c r="GZ883" s="25"/>
      <c r="HA883" s="25"/>
      <c r="HB883" s="25"/>
      <c r="HC883" s="65"/>
      <c r="HD883" s="25"/>
      <c r="HE883" s="25"/>
      <c r="HF883" s="25"/>
      <c r="HG883" s="25"/>
      <c r="HH883" s="65">
        <v>50</v>
      </c>
      <c r="HI883" s="25"/>
      <c r="HJ883" s="25"/>
      <c r="HK883" s="25"/>
      <c r="HL883" s="25"/>
    </row>
    <row r="884" spans="1:220" ht="15.75" customHeight="1" x14ac:dyDescent="0.2">
      <c r="A884" s="58">
        <v>43686.603252314817</v>
      </c>
      <c r="B884" s="32">
        <v>589344</v>
      </c>
      <c r="C884" s="26">
        <v>100</v>
      </c>
      <c r="D884" s="86" t="s">
        <v>923</v>
      </c>
      <c r="E884" s="32">
        <f t="shared" si="23"/>
        <v>0</v>
      </c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  <c r="CI884" s="25"/>
      <c r="CJ884" s="25"/>
      <c r="CK884" s="25"/>
      <c r="CL884" s="25"/>
      <c r="CM884" s="25"/>
      <c r="CN884" s="25"/>
      <c r="CO884" s="25"/>
      <c r="CP884" s="25"/>
      <c r="CQ884" s="25"/>
      <c r="CR884" s="25"/>
      <c r="CS884" s="25"/>
      <c r="CT884" s="25"/>
      <c r="CU884" s="25"/>
      <c r="CV884" s="25"/>
      <c r="CW884" s="25"/>
      <c r="CX884" s="25"/>
      <c r="CY884" s="25"/>
      <c r="CZ884" s="25"/>
      <c r="DA884" s="25"/>
      <c r="DB884" s="25"/>
      <c r="DC884" s="25"/>
      <c r="DD884" s="25"/>
      <c r="DE884" s="25"/>
      <c r="DF884" s="25"/>
      <c r="DG884" s="25"/>
      <c r="DH884" s="25"/>
      <c r="DI884" s="25"/>
      <c r="DJ884" s="25"/>
      <c r="DK884" s="25"/>
      <c r="DL884" s="25"/>
      <c r="DM884" s="25"/>
      <c r="DN884" s="25"/>
      <c r="DO884" s="25"/>
      <c r="DP884" s="25"/>
      <c r="DQ884" s="25"/>
      <c r="DR884" s="25"/>
      <c r="DS884" s="25"/>
      <c r="DT884" s="25"/>
      <c r="DU884" s="25"/>
      <c r="DV884" s="25"/>
      <c r="DW884" s="25"/>
      <c r="DX884" s="25"/>
      <c r="DY884" s="25"/>
      <c r="DZ884" s="25"/>
      <c r="EA884" s="25"/>
      <c r="EB884" s="25"/>
      <c r="EC884" s="25"/>
      <c r="ED884" s="25"/>
      <c r="EE884" s="25"/>
      <c r="EF884" s="25"/>
      <c r="EG884" s="25"/>
      <c r="EH884" s="25"/>
      <c r="EI884" s="25"/>
      <c r="EJ884" s="25"/>
      <c r="EK884" s="25"/>
      <c r="EL884" s="25"/>
      <c r="EM884" s="25"/>
      <c r="EN884" s="25"/>
      <c r="EO884" s="25"/>
      <c r="EP884" s="25"/>
      <c r="EQ884" s="25"/>
      <c r="ER884" s="25"/>
      <c r="ES884" s="25"/>
      <c r="ET884" s="25"/>
      <c r="EU884" s="25"/>
      <c r="EV884" s="25"/>
      <c r="EW884" s="25"/>
      <c r="EX884" s="25"/>
      <c r="EY884" s="25"/>
      <c r="EZ884" s="25"/>
      <c r="FA884" s="25"/>
      <c r="FB884" s="25"/>
      <c r="FC884" s="25"/>
      <c r="FD884" s="25"/>
      <c r="FE884" s="25"/>
      <c r="FF884" s="25"/>
      <c r="FG884" s="25"/>
      <c r="FH884" s="25"/>
      <c r="FI884" s="25"/>
      <c r="FJ884" s="25"/>
      <c r="FK884" s="25"/>
      <c r="FL884" s="25"/>
      <c r="FM884" s="25"/>
      <c r="FN884" s="25"/>
      <c r="FO884" s="25"/>
      <c r="FP884" s="25"/>
      <c r="FQ884" s="25"/>
      <c r="FR884" s="25"/>
      <c r="FS884" s="25"/>
      <c r="FT884" s="25"/>
      <c r="FU884" s="25"/>
      <c r="FV884" s="27"/>
      <c r="FW884" s="27"/>
      <c r="FX884" s="27"/>
      <c r="FY884" s="25"/>
      <c r="FZ884" s="25"/>
      <c r="GA884" s="25"/>
      <c r="GB884" s="25"/>
      <c r="GC884" s="25"/>
      <c r="GD884" s="25"/>
      <c r="GE884" s="25"/>
      <c r="GF884" s="25"/>
      <c r="GG884" s="25"/>
      <c r="GH884" s="25"/>
      <c r="GI884" s="25"/>
      <c r="GJ884" s="25"/>
      <c r="GK884" s="25"/>
      <c r="GL884" s="65"/>
      <c r="GM884" s="25"/>
      <c r="GN884" s="25"/>
      <c r="GO884" s="25"/>
      <c r="GP884" s="25"/>
      <c r="GQ884" s="25"/>
      <c r="GR884" s="25"/>
      <c r="GS884" s="64"/>
      <c r="GT884" s="25"/>
      <c r="GU884" s="25"/>
      <c r="GV884" s="25"/>
      <c r="GW884" s="25"/>
      <c r="GX884" s="64"/>
      <c r="GY884" s="25"/>
      <c r="GZ884" s="25"/>
      <c r="HA884" s="25"/>
      <c r="HB884" s="25"/>
      <c r="HC884" s="65"/>
      <c r="HD884" s="25"/>
      <c r="HE884" s="25"/>
      <c r="HF884" s="25"/>
      <c r="HG884" s="25"/>
      <c r="HH884" s="65"/>
      <c r="HI884" s="26">
        <v>100</v>
      </c>
      <c r="HJ884" s="25"/>
      <c r="HK884" s="25"/>
      <c r="HL884" s="25"/>
    </row>
    <row r="885" spans="1:220" ht="15.75" customHeight="1" x14ac:dyDescent="0.2">
      <c r="A885" s="58">
        <v>43686.592719907407</v>
      </c>
      <c r="B885" s="32">
        <v>589341</v>
      </c>
      <c r="C885" s="26">
        <v>50</v>
      </c>
      <c r="D885" s="86" t="s">
        <v>924</v>
      </c>
      <c r="E885" s="32">
        <f t="shared" si="23"/>
        <v>0</v>
      </c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  <c r="CI885" s="25"/>
      <c r="CJ885" s="25"/>
      <c r="CK885" s="25"/>
      <c r="CL885" s="25"/>
      <c r="CM885" s="25"/>
      <c r="CN885" s="25"/>
      <c r="CO885" s="25"/>
      <c r="CP885" s="25"/>
      <c r="CQ885" s="25"/>
      <c r="CR885" s="25"/>
      <c r="CS885" s="25"/>
      <c r="CT885" s="25"/>
      <c r="CU885" s="25"/>
      <c r="CV885" s="25"/>
      <c r="CW885" s="25"/>
      <c r="CX885" s="25"/>
      <c r="CY885" s="25"/>
      <c r="CZ885" s="25"/>
      <c r="DA885" s="25"/>
      <c r="DB885" s="25"/>
      <c r="DC885" s="25"/>
      <c r="DD885" s="25"/>
      <c r="DE885" s="25"/>
      <c r="DF885" s="25"/>
      <c r="DG885" s="25"/>
      <c r="DH885" s="25"/>
      <c r="DI885" s="25"/>
      <c r="DJ885" s="25"/>
      <c r="DK885" s="25"/>
      <c r="DL885" s="25"/>
      <c r="DM885" s="25"/>
      <c r="DN885" s="25"/>
      <c r="DO885" s="25"/>
      <c r="DP885" s="25"/>
      <c r="DQ885" s="25"/>
      <c r="DR885" s="25"/>
      <c r="DS885" s="25"/>
      <c r="DT885" s="25"/>
      <c r="DU885" s="25"/>
      <c r="DV885" s="25"/>
      <c r="DW885" s="25"/>
      <c r="DX885" s="25"/>
      <c r="DY885" s="25"/>
      <c r="DZ885" s="25"/>
      <c r="EA885" s="25"/>
      <c r="EB885" s="25"/>
      <c r="EC885" s="25"/>
      <c r="ED885" s="25"/>
      <c r="EE885" s="25"/>
      <c r="EF885" s="25"/>
      <c r="EG885" s="25"/>
      <c r="EH885" s="25"/>
      <c r="EI885" s="25"/>
      <c r="EJ885" s="25"/>
      <c r="EK885" s="25"/>
      <c r="EL885" s="25"/>
      <c r="EM885" s="25"/>
      <c r="EN885" s="25"/>
      <c r="EO885" s="25"/>
      <c r="EP885" s="25"/>
      <c r="EQ885" s="25"/>
      <c r="ER885" s="25"/>
      <c r="ES885" s="25"/>
      <c r="ET885" s="25"/>
      <c r="EU885" s="25"/>
      <c r="EV885" s="25"/>
      <c r="EW885" s="25"/>
      <c r="EX885" s="25"/>
      <c r="EY885" s="25"/>
      <c r="EZ885" s="25"/>
      <c r="FA885" s="25"/>
      <c r="FB885" s="25"/>
      <c r="FC885" s="25"/>
      <c r="FD885" s="25"/>
      <c r="FE885" s="25"/>
      <c r="FF885" s="25"/>
      <c r="FG885" s="25"/>
      <c r="FH885" s="25"/>
      <c r="FI885" s="25"/>
      <c r="FJ885" s="25"/>
      <c r="FK885" s="25"/>
      <c r="FL885" s="25"/>
      <c r="FM885" s="25"/>
      <c r="FN885" s="25"/>
      <c r="FO885" s="25"/>
      <c r="FP885" s="25"/>
      <c r="FQ885" s="25"/>
      <c r="FR885" s="25"/>
      <c r="FS885" s="25"/>
      <c r="FT885" s="25"/>
      <c r="FU885" s="25"/>
      <c r="FV885" s="27"/>
      <c r="FW885" s="27"/>
      <c r="FX885" s="27"/>
      <c r="FY885" s="25"/>
      <c r="FZ885" s="25"/>
      <c r="GA885" s="25"/>
      <c r="GB885" s="25"/>
      <c r="GC885" s="25"/>
      <c r="GD885" s="25"/>
      <c r="GE885" s="25"/>
      <c r="GF885" s="25"/>
      <c r="GG885" s="25"/>
      <c r="GH885" s="25"/>
      <c r="GI885" s="25"/>
      <c r="GJ885" s="25"/>
      <c r="GK885" s="25"/>
      <c r="GL885" s="65"/>
      <c r="GM885" s="25"/>
      <c r="GN885" s="25"/>
      <c r="GO885" s="25"/>
      <c r="GP885" s="25"/>
      <c r="GQ885" s="25"/>
      <c r="GR885" s="25"/>
      <c r="GS885" s="64"/>
      <c r="GT885" s="25"/>
      <c r="GU885" s="25"/>
      <c r="GV885" s="25"/>
      <c r="GW885" s="25"/>
      <c r="GX885" s="64"/>
      <c r="GY885" s="25"/>
      <c r="GZ885" s="25"/>
      <c r="HA885" s="25"/>
      <c r="HB885" s="25"/>
      <c r="HC885" s="65"/>
      <c r="HD885" s="25"/>
      <c r="HE885" s="25"/>
      <c r="HF885" s="25"/>
      <c r="HG885" s="25"/>
      <c r="HH885" s="65"/>
      <c r="HI885" s="26">
        <v>50</v>
      </c>
      <c r="HJ885" s="25"/>
      <c r="HK885" s="25"/>
      <c r="HL885" s="25"/>
    </row>
    <row r="886" spans="1:220" ht="15.75" customHeight="1" x14ac:dyDescent="0.2">
      <c r="A886" s="58">
        <v>43686.603252314817</v>
      </c>
      <c r="B886" s="32">
        <v>589344</v>
      </c>
      <c r="C886" s="26">
        <v>100</v>
      </c>
      <c r="D886" s="86" t="s">
        <v>925</v>
      </c>
      <c r="E886" s="32">
        <f t="shared" si="23"/>
        <v>0</v>
      </c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  <c r="CI886" s="25"/>
      <c r="CJ886" s="25"/>
      <c r="CK886" s="25"/>
      <c r="CL886" s="25"/>
      <c r="CM886" s="25"/>
      <c r="CN886" s="25"/>
      <c r="CO886" s="25"/>
      <c r="CP886" s="25"/>
      <c r="CQ886" s="25"/>
      <c r="CR886" s="25"/>
      <c r="CS886" s="25"/>
      <c r="CT886" s="25"/>
      <c r="CU886" s="25"/>
      <c r="CV886" s="25"/>
      <c r="CW886" s="25"/>
      <c r="CX886" s="25"/>
      <c r="CY886" s="25"/>
      <c r="CZ886" s="25"/>
      <c r="DA886" s="25"/>
      <c r="DB886" s="25"/>
      <c r="DC886" s="25"/>
      <c r="DD886" s="25"/>
      <c r="DE886" s="25"/>
      <c r="DF886" s="25"/>
      <c r="DG886" s="25"/>
      <c r="DH886" s="25"/>
      <c r="DI886" s="25"/>
      <c r="DJ886" s="25"/>
      <c r="DK886" s="25"/>
      <c r="DL886" s="25"/>
      <c r="DM886" s="25"/>
      <c r="DN886" s="25"/>
      <c r="DO886" s="25"/>
      <c r="DP886" s="25"/>
      <c r="DQ886" s="25"/>
      <c r="DR886" s="25"/>
      <c r="DS886" s="25"/>
      <c r="DT886" s="25"/>
      <c r="DU886" s="25"/>
      <c r="DV886" s="25"/>
      <c r="DW886" s="25"/>
      <c r="DX886" s="25"/>
      <c r="DY886" s="25"/>
      <c r="DZ886" s="25"/>
      <c r="EA886" s="25"/>
      <c r="EB886" s="25"/>
      <c r="EC886" s="25"/>
      <c r="ED886" s="25"/>
      <c r="EE886" s="25"/>
      <c r="EF886" s="25"/>
      <c r="EG886" s="25"/>
      <c r="EH886" s="25"/>
      <c r="EI886" s="25"/>
      <c r="EJ886" s="25"/>
      <c r="EK886" s="25"/>
      <c r="EL886" s="25"/>
      <c r="EM886" s="25"/>
      <c r="EN886" s="25"/>
      <c r="EO886" s="25"/>
      <c r="EP886" s="25"/>
      <c r="EQ886" s="25"/>
      <c r="ER886" s="25"/>
      <c r="ES886" s="25"/>
      <c r="ET886" s="25"/>
      <c r="EU886" s="25"/>
      <c r="EV886" s="25"/>
      <c r="EW886" s="25"/>
      <c r="EX886" s="25"/>
      <c r="EY886" s="25"/>
      <c r="EZ886" s="25"/>
      <c r="FA886" s="25"/>
      <c r="FB886" s="25"/>
      <c r="FC886" s="25"/>
      <c r="FD886" s="25"/>
      <c r="FE886" s="25"/>
      <c r="FF886" s="25"/>
      <c r="FG886" s="25"/>
      <c r="FH886" s="25"/>
      <c r="FI886" s="25"/>
      <c r="FJ886" s="25"/>
      <c r="FK886" s="25"/>
      <c r="FL886" s="25"/>
      <c r="FM886" s="25"/>
      <c r="FN886" s="25"/>
      <c r="FO886" s="25"/>
      <c r="FP886" s="25"/>
      <c r="FQ886" s="25"/>
      <c r="FR886" s="25"/>
      <c r="FS886" s="25"/>
      <c r="FT886" s="25"/>
      <c r="FU886" s="25"/>
      <c r="FV886" s="27"/>
      <c r="FW886" s="27"/>
      <c r="FX886" s="27"/>
      <c r="FY886" s="25"/>
      <c r="FZ886" s="25"/>
      <c r="GA886" s="25"/>
      <c r="GB886" s="25"/>
      <c r="GC886" s="25"/>
      <c r="GD886" s="25"/>
      <c r="GE886" s="25"/>
      <c r="GF886" s="25"/>
      <c r="GG886" s="25"/>
      <c r="GH886" s="25"/>
      <c r="GI886" s="25"/>
      <c r="GJ886" s="25"/>
      <c r="GK886" s="25"/>
      <c r="GL886" s="65"/>
      <c r="GM886" s="25"/>
      <c r="GN886" s="25"/>
      <c r="GO886" s="25"/>
      <c r="GP886" s="25"/>
      <c r="GQ886" s="25"/>
      <c r="GR886" s="25"/>
      <c r="GS886" s="64"/>
      <c r="GT886" s="25"/>
      <c r="GU886" s="25"/>
      <c r="GV886" s="25"/>
      <c r="GW886" s="25"/>
      <c r="GX886" s="64"/>
      <c r="GY886" s="25"/>
      <c r="GZ886" s="25"/>
      <c r="HA886" s="25"/>
      <c r="HB886" s="25"/>
      <c r="HC886" s="65"/>
      <c r="HD886" s="25"/>
      <c r="HE886" s="25"/>
      <c r="HF886" s="25"/>
      <c r="HG886" s="25"/>
      <c r="HH886" s="65">
        <v>100</v>
      </c>
      <c r="HI886" s="25"/>
      <c r="HJ886" s="25"/>
      <c r="HK886" s="25"/>
      <c r="HL886" s="25"/>
    </row>
    <row r="887" spans="1:220" ht="15.75" customHeight="1" x14ac:dyDescent="0.2">
      <c r="A887" s="58">
        <v>43686.603252314817</v>
      </c>
      <c r="B887" s="32">
        <v>589344</v>
      </c>
      <c r="C887" s="26">
        <v>50</v>
      </c>
      <c r="D887" s="86" t="s">
        <v>926</v>
      </c>
      <c r="E887" s="32">
        <f t="shared" si="23"/>
        <v>0</v>
      </c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  <c r="CI887" s="25"/>
      <c r="CJ887" s="25"/>
      <c r="CK887" s="25"/>
      <c r="CL887" s="25"/>
      <c r="CM887" s="25"/>
      <c r="CN887" s="25"/>
      <c r="CO887" s="25"/>
      <c r="CP887" s="25"/>
      <c r="CQ887" s="25"/>
      <c r="CR887" s="25"/>
      <c r="CS887" s="25"/>
      <c r="CT887" s="25"/>
      <c r="CU887" s="25"/>
      <c r="CV887" s="25"/>
      <c r="CW887" s="25"/>
      <c r="CX887" s="25"/>
      <c r="CY887" s="25"/>
      <c r="CZ887" s="25"/>
      <c r="DA887" s="25"/>
      <c r="DB887" s="25"/>
      <c r="DC887" s="25"/>
      <c r="DD887" s="25"/>
      <c r="DE887" s="25"/>
      <c r="DF887" s="25"/>
      <c r="DG887" s="25"/>
      <c r="DH887" s="25"/>
      <c r="DI887" s="25"/>
      <c r="DJ887" s="25"/>
      <c r="DK887" s="25"/>
      <c r="DL887" s="25"/>
      <c r="DM887" s="25"/>
      <c r="DN887" s="25"/>
      <c r="DO887" s="25"/>
      <c r="DP887" s="25"/>
      <c r="DQ887" s="25"/>
      <c r="DR887" s="25"/>
      <c r="DS887" s="25"/>
      <c r="DT887" s="25"/>
      <c r="DU887" s="25"/>
      <c r="DV887" s="25"/>
      <c r="DW887" s="25"/>
      <c r="DX887" s="25"/>
      <c r="DY887" s="25"/>
      <c r="DZ887" s="25"/>
      <c r="EA887" s="25"/>
      <c r="EB887" s="25"/>
      <c r="EC887" s="25"/>
      <c r="ED887" s="25"/>
      <c r="EE887" s="25"/>
      <c r="EF887" s="25"/>
      <c r="EG887" s="25"/>
      <c r="EH887" s="25"/>
      <c r="EI887" s="25"/>
      <c r="EJ887" s="25"/>
      <c r="EK887" s="25"/>
      <c r="EL887" s="25"/>
      <c r="EM887" s="25"/>
      <c r="EN887" s="25"/>
      <c r="EO887" s="25"/>
      <c r="EP887" s="25"/>
      <c r="EQ887" s="25"/>
      <c r="ER887" s="25"/>
      <c r="ES887" s="25"/>
      <c r="ET887" s="25"/>
      <c r="EU887" s="25"/>
      <c r="EV887" s="25"/>
      <c r="EW887" s="25"/>
      <c r="EX887" s="25"/>
      <c r="EY887" s="25"/>
      <c r="EZ887" s="25"/>
      <c r="FA887" s="25"/>
      <c r="FB887" s="25"/>
      <c r="FC887" s="25"/>
      <c r="FD887" s="25"/>
      <c r="FE887" s="25"/>
      <c r="FF887" s="25"/>
      <c r="FG887" s="25"/>
      <c r="FH887" s="25"/>
      <c r="FI887" s="25"/>
      <c r="FJ887" s="25"/>
      <c r="FK887" s="25"/>
      <c r="FL887" s="25"/>
      <c r="FM887" s="25"/>
      <c r="FN887" s="25"/>
      <c r="FO887" s="25"/>
      <c r="FP887" s="25"/>
      <c r="FQ887" s="25"/>
      <c r="FR887" s="25"/>
      <c r="FS887" s="25"/>
      <c r="FT887" s="25"/>
      <c r="FU887" s="25"/>
      <c r="FV887" s="27"/>
      <c r="FW887" s="27"/>
      <c r="FX887" s="27"/>
      <c r="FY887" s="25"/>
      <c r="FZ887" s="25"/>
      <c r="GA887" s="25"/>
      <c r="GB887" s="25"/>
      <c r="GC887" s="25"/>
      <c r="GD887" s="25"/>
      <c r="GE887" s="25"/>
      <c r="GF887" s="25"/>
      <c r="GG887" s="25"/>
      <c r="GH887" s="25"/>
      <c r="GI887" s="25"/>
      <c r="GJ887" s="25"/>
      <c r="GK887" s="25"/>
      <c r="GL887" s="65"/>
      <c r="GM887" s="25"/>
      <c r="GN887" s="25"/>
      <c r="GO887" s="25"/>
      <c r="GP887" s="25"/>
      <c r="GQ887" s="25"/>
      <c r="GR887" s="25"/>
      <c r="GS887" s="64"/>
      <c r="GT887" s="25"/>
      <c r="GU887" s="25"/>
      <c r="GV887" s="25"/>
      <c r="GW887" s="25"/>
      <c r="GX887" s="64"/>
      <c r="GY887" s="25"/>
      <c r="GZ887" s="25"/>
      <c r="HA887" s="25"/>
      <c r="HB887" s="25"/>
      <c r="HC887" s="65"/>
      <c r="HD887" s="25"/>
      <c r="HE887" s="25"/>
      <c r="HF887" s="25"/>
      <c r="HG887" s="25"/>
      <c r="HH887" s="65">
        <v>50</v>
      </c>
      <c r="HI887" s="25"/>
      <c r="HJ887" s="25"/>
      <c r="HK887" s="25"/>
      <c r="HL887" s="25"/>
    </row>
    <row r="888" spans="1:220" ht="15.75" customHeight="1" x14ac:dyDescent="0.2">
      <c r="A888" s="58">
        <v>43687.292453703703</v>
      </c>
      <c r="B888" s="32">
        <v>589435</v>
      </c>
      <c r="C888" s="26">
        <v>10</v>
      </c>
      <c r="D888" s="86" t="s">
        <v>927</v>
      </c>
      <c r="E888" s="32">
        <f t="shared" si="23"/>
        <v>0</v>
      </c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  <c r="CI888" s="25"/>
      <c r="CJ888" s="25"/>
      <c r="CK888" s="25"/>
      <c r="CL888" s="25"/>
      <c r="CM888" s="25"/>
      <c r="CN888" s="25"/>
      <c r="CO888" s="25"/>
      <c r="CP888" s="25"/>
      <c r="CQ888" s="25"/>
      <c r="CR888" s="25"/>
      <c r="CS888" s="25"/>
      <c r="CT888" s="25"/>
      <c r="CU888" s="25"/>
      <c r="CV888" s="25"/>
      <c r="CW888" s="25"/>
      <c r="CX888" s="25"/>
      <c r="CY888" s="25"/>
      <c r="CZ888" s="25"/>
      <c r="DA888" s="25"/>
      <c r="DB888" s="25"/>
      <c r="DC888" s="25"/>
      <c r="DD888" s="25"/>
      <c r="DE888" s="25"/>
      <c r="DF888" s="25"/>
      <c r="DG888" s="25"/>
      <c r="DH888" s="25"/>
      <c r="DI888" s="25"/>
      <c r="DJ888" s="25"/>
      <c r="DK888" s="25"/>
      <c r="DL888" s="25"/>
      <c r="DM888" s="25"/>
      <c r="DN888" s="25"/>
      <c r="DO888" s="25"/>
      <c r="DP888" s="25"/>
      <c r="DQ888" s="25"/>
      <c r="DR888" s="25"/>
      <c r="DS888" s="25"/>
      <c r="DT888" s="25"/>
      <c r="DU888" s="25"/>
      <c r="DV888" s="25"/>
      <c r="DW888" s="25"/>
      <c r="DX888" s="25"/>
      <c r="DY888" s="25"/>
      <c r="DZ888" s="25"/>
      <c r="EA888" s="25"/>
      <c r="EB888" s="25"/>
      <c r="EC888" s="25"/>
      <c r="ED888" s="25"/>
      <c r="EE888" s="25"/>
      <c r="EF888" s="25"/>
      <c r="EG888" s="25"/>
      <c r="EH888" s="25"/>
      <c r="EI888" s="25"/>
      <c r="EJ888" s="25"/>
      <c r="EK888" s="25"/>
      <c r="EL888" s="25"/>
      <c r="EM888" s="25"/>
      <c r="EN888" s="25"/>
      <c r="EO888" s="25"/>
      <c r="EP888" s="25"/>
      <c r="EQ888" s="25"/>
      <c r="ER888" s="25"/>
      <c r="ES888" s="25"/>
      <c r="ET888" s="25"/>
      <c r="EU888" s="25"/>
      <c r="EV888" s="25"/>
      <c r="EW888" s="25"/>
      <c r="EX888" s="25"/>
      <c r="EY888" s="25"/>
      <c r="EZ888" s="25"/>
      <c r="FA888" s="25"/>
      <c r="FB888" s="25"/>
      <c r="FC888" s="25"/>
      <c r="FD888" s="25"/>
      <c r="FE888" s="25"/>
      <c r="FF888" s="25"/>
      <c r="FG888" s="25"/>
      <c r="FH888" s="25"/>
      <c r="FI888" s="25"/>
      <c r="FJ888" s="25"/>
      <c r="FK888" s="25"/>
      <c r="FL888" s="25"/>
      <c r="FM888" s="25"/>
      <c r="FN888" s="25"/>
      <c r="FO888" s="25"/>
      <c r="FP888" s="25"/>
      <c r="FQ888" s="25"/>
      <c r="FR888" s="25"/>
      <c r="FS888" s="25"/>
      <c r="FT888" s="25"/>
      <c r="FU888" s="25"/>
      <c r="FV888" s="77"/>
      <c r="FW888" s="28"/>
      <c r="FX888" s="28"/>
      <c r="FY888" s="26"/>
      <c r="FZ888" s="26"/>
      <c r="GA888" s="26"/>
      <c r="GB888" s="26"/>
      <c r="GC888" s="26"/>
      <c r="GD888" s="26"/>
      <c r="GE888" s="26"/>
      <c r="GF888" s="26"/>
      <c r="GG888" s="26"/>
      <c r="GH888" s="26"/>
      <c r="GI888" s="26"/>
      <c r="GJ888" s="26"/>
      <c r="GK888" s="26"/>
      <c r="GL888" s="65"/>
      <c r="GM888" s="26"/>
      <c r="GN888" s="26"/>
      <c r="GO888" s="26"/>
      <c r="GP888" s="26"/>
      <c r="GQ888" s="26"/>
      <c r="GR888" s="26"/>
      <c r="GS888" s="64"/>
      <c r="GT888" s="26"/>
      <c r="GU888" s="26"/>
      <c r="GV888" s="26"/>
      <c r="GW888" s="26"/>
      <c r="GX888" s="64"/>
      <c r="GY888" s="26"/>
      <c r="GZ888" s="26"/>
      <c r="HA888" s="26"/>
      <c r="HB888" s="26"/>
      <c r="HC888" s="65"/>
      <c r="HD888" s="26"/>
      <c r="HE888" s="26"/>
      <c r="HF888" s="26"/>
      <c r="HG888" s="26"/>
      <c r="HH888" s="65">
        <v>10</v>
      </c>
      <c r="HI888" s="26"/>
      <c r="HJ888" s="26"/>
      <c r="HK888" s="25"/>
      <c r="HL888" s="25"/>
    </row>
    <row r="889" spans="1:220" ht="15.75" customHeight="1" x14ac:dyDescent="0.2">
      <c r="A889" s="58">
        <v>43687.323217592595</v>
      </c>
      <c r="B889" s="32">
        <v>589438</v>
      </c>
      <c r="C889" s="26">
        <v>40</v>
      </c>
      <c r="D889" s="86" t="s">
        <v>928</v>
      </c>
      <c r="E889" s="32">
        <f t="shared" si="23"/>
        <v>0</v>
      </c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  <c r="CI889" s="25"/>
      <c r="CJ889" s="25"/>
      <c r="CK889" s="25"/>
      <c r="CL889" s="25"/>
      <c r="CM889" s="25"/>
      <c r="CN889" s="25"/>
      <c r="CO889" s="25"/>
      <c r="CP889" s="25"/>
      <c r="CQ889" s="25"/>
      <c r="CR889" s="25"/>
      <c r="CS889" s="25"/>
      <c r="CT889" s="25"/>
      <c r="CU889" s="25"/>
      <c r="CV889" s="25"/>
      <c r="CW889" s="25"/>
      <c r="CX889" s="25"/>
      <c r="CY889" s="25"/>
      <c r="CZ889" s="25"/>
      <c r="DA889" s="25"/>
      <c r="DB889" s="25"/>
      <c r="DC889" s="25"/>
      <c r="DD889" s="25"/>
      <c r="DE889" s="25"/>
      <c r="DF889" s="25"/>
      <c r="DG889" s="25"/>
      <c r="DH889" s="25"/>
      <c r="DI889" s="25"/>
      <c r="DJ889" s="25"/>
      <c r="DK889" s="25"/>
      <c r="DL889" s="25"/>
      <c r="DM889" s="25"/>
      <c r="DN889" s="25"/>
      <c r="DO889" s="25"/>
      <c r="DP889" s="25"/>
      <c r="DQ889" s="25"/>
      <c r="DR889" s="25"/>
      <c r="DS889" s="25"/>
      <c r="DT889" s="25"/>
      <c r="DU889" s="25"/>
      <c r="DV889" s="25"/>
      <c r="DW889" s="25"/>
      <c r="DX889" s="25"/>
      <c r="DY889" s="25"/>
      <c r="DZ889" s="25"/>
      <c r="EA889" s="25"/>
      <c r="EB889" s="25"/>
      <c r="EC889" s="25"/>
      <c r="ED889" s="25"/>
      <c r="EE889" s="25"/>
      <c r="EF889" s="25"/>
      <c r="EG889" s="25"/>
      <c r="EH889" s="25"/>
      <c r="EI889" s="25"/>
      <c r="EJ889" s="25"/>
      <c r="EK889" s="25"/>
      <c r="EL889" s="25"/>
      <c r="EM889" s="25"/>
      <c r="EN889" s="25"/>
      <c r="EO889" s="25"/>
      <c r="EP889" s="25"/>
      <c r="EQ889" s="25"/>
      <c r="ER889" s="25"/>
      <c r="ES889" s="25"/>
      <c r="ET889" s="25"/>
      <c r="EU889" s="25"/>
      <c r="EV889" s="25"/>
      <c r="EW889" s="25"/>
      <c r="EX889" s="25"/>
      <c r="EY889" s="25"/>
      <c r="EZ889" s="25"/>
      <c r="FA889" s="25"/>
      <c r="FB889" s="25"/>
      <c r="FC889" s="25"/>
      <c r="FD889" s="25"/>
      <c r="FE889" s="25"/>
      <c r="FF889" s="25"/>
      <c r="FG889" s="25"/>
      <c r="FH889" s="25"/>
      <c r="FI889" s="25"/>
      <c r="FJ889" s="25"/>
      <c r="FK889" s="25"/>
      <c r="FL889" s="25"/>
      <c r="FM889" s="25"/>
      <c r="FN889" s="25"/>
      <c r="FO889" s="25"/>
      <c r="FP889" s="25"/>
      <c r="FQ889" s="25"/>
      <c r="FR889" s="25"/>
      <c r="FS889" s="25"/>
      <c r="FT889" s="25"/>
      <c r="FU889" s="25"/>
      <c r="FV889" s="77"/>
      <c r="FW889" s="28"/>
      <c r="FX889" s="28"/>
      <c r="FY889" s="26"/>
      <c r="FZ889" s="26"/>
      <c r="GA889" s="26"/>
      <c r="GB889" s="26"/>
      <c r="GC889" s="26"/>
      <c r="GD889" s="26"/>
      <c r="GE889" s="26"/>
      <c r="GF889" s="26"/>
      <c r="GG889" s="26"/>
      <c r="GH889" s="26"/>
      <c r="GI889" s="26"/>
      <c r="GJ889" s="26"/>
      <c r="GK889" s="26"/>
      <c r="GL889" s="65"/>
      <c r="GM889" s="26"/>
      <c r="GN889" s="26"/>
      <c r="GO889" s="26"/>
      <c r="GP889" s="26"/>
      <c r="GQ889" s="26"/>
      <c r="GR889" s="26"/>
      <c r="GS889" s="64"/>
      <c r="GT889" s="26"/>
      <c r="GU889" s="26"/>
      <c r="GV889" s="26"/>
      <c r="GW889" s="26"/>
      <c r="GX889" s="64"/>
      <c r="GY889" s="26"/>
      <c r="GZ889" s="26"/>
      <c r="HA889" s="26"/>
      <c r="HB889" s="26"/>
      <c r="HC889" s="65"/>
      <c r="HD889" s="26"/>
      <c r="HE889" s="26"/>
      <c r="HF889" s="26"/>
      <c r="HG889" s="26"/>
      <c r="HH889" s="65">
        <v>40</v>
      </c>
      <c r="HI889" s="26"/>
      <c r="HJ889" s="26"/>
      <c r="HK889" s="25"/>
      <c r="HL889" s="25"/>
    </row>
    <row r="890" spans="1:220" ht="15.75" customHeight="1" x14ac:dyDescent="0.2">
      <c r="A890" s="58">
        <v>43687.323217592595</v>
      </c>
      <c r="B890" s="32">
        <v>589438</v>
      </c>
      <c r="C890" s="26">
        <v>10</v>
      </c>
      <c r="D890" s="86" t="s">
        <v>929</v>
      </c>
      <c r="E890" s="32">
        <f t="shared" si="23"/>
        <v>0</v>
      </c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  <c r="CI890" s="25"/>
      <c r="CJ890" s="25"/>
      <c r="CK890" s="25"/>
      <c r="CL890" s="25"/>
      <c r="CM890" s="25"/>
      <c r="CN890" s="25"/>
      <c r="CO890" s="25"/>
      <c r="CP890" s="25"/>
      <c r="CQ890" s="25"/>
      <c r="CR890" s="25"/>
      <c r="CS890" s="25"/>
      <c r="CT890" s="25"/>
      <c r="CU890" s="25"/>
      <c r="CV890" s="25"/>
      <c r="CW890" s="25"/>
      <c r="CX890" s="25"/>
      <c r="CY890" s="25"/>
      <c r="CZ890" s="25"/>
      <c r="DA890" s="25"/>
      <c r="DB890" s="25"/>
      <c r="DC890" s="25"/>
      <c r="DD890" s="25"/>
      <c r="DE890" s="25"/>
      <c r="DF890" s="25"/>
      <c r="DG890" s="25"/>
      <c r="DH890" s="25"/>
      <c r="DI890" s="25"/>
      <c r="DJ890" s="25"/>
      <c r="DK890" s="25"/>
      <c r="DL890" s="25"/>
      <c r="DM890" s="25"/>
      <c r="DN890" s="25"/>
      <c r="DO890" s="25"/>
      <c r="DP890" s="25"/>
      <c r="DQ890" s="25"/>
      <c r="DR890" s="25"/>
      <c r="DS890" s="25"/>
      <c r="DT890" s="25"/>
      <c r="DU890" s="25"/>
      <c r="DV890" s="25"/>
      <c r="DW890" s="25"/>
      <c r="DX890" s="25"/>
      <c r="DY890" s="25"/>
      <c r="DZ890" s="25"/>
      <c r="EA890" s="25"/>
      <c r="EB890" s="25"/>
      <c r="EC890" s="25"/>
      <c r="ED890" s="25"/>
      <c r="EE890" s="25"/>
      <c r="EF890" s="25"/>
      <c r="EG890" s="25"/>
      <c r="EH890" s="25"/>
      <c r="EI890" s="25"/>
      <c r="EJ890" s="25"/>
      <c r="EK890" s="25"/>
      <c r="EL890" s="25"/>
      <c r="EM890" s="25"/>
      <c r="EN890" s="25"/>
      <c r="EO890" s="25"/>
      <c r="EP890" s="25"/>
      <c r="EQ890" s="25"/>
      <c r="ER890" s="25"/>
      <c r="ES890" s="25"/>
      <c r="ET890" s="25"/>
      <c r="EU890" s="25"/>
      <c r="EV890" s="25"/>
      <c r="EW890" s="25"/>
      <c r="EX890" s="25"/>
      <c r="EY890" s="25"/>
      <c r="EZ890" s="25"/>
      <c r="FA890" s="25"/>
      <c r="FB890" s="25"/>
      <c r="FC890" s="25"/>
      <c r="FD890" s="25"/>
      <c r="FE890" s="25"/>
      <c r="FF890" s="25"/>
      <c r="FG890" s="25"/>
      <c r="FH890" s="25"/>
      <c r="FI890" s="25"/>
      <c r="FJ890" s="25"/>
      <c r="FK890" s="25"/>
      <c r="FL890" s="25"/>
      <c r="FM890" s="25"/>
      <c r="FN890" s="25"/>
      <c r="FO890" s="25"/>
      <c r="FP890" s="25"/>
      <c r="FQ890" s="25"/>
      <c r="FR890" s="25"/>
      <c r="FS890" s="25"/>
      <c r="FT890" s="25"/>
      <c r="FU890" s="25"/>
      <c r="FV890" s="77"/>
      <c r="FW890" s="28"/>
      <c r="FX890" s="28"/>
      <c r="FY890" s="26"/>
      <c r="FZ890" s="26"/>
      <c r="GA890" s="26"/>
      <c r="GB890" s="26"/>
      <c r="GC890" s="26"/>
      <c r="GD890" s="26"/>
      <c r="GE890" s="26"/>
      <c r="GF890" s="26"/>
      <c r="GG890" s="26"/>
      <c r="GH890" s="26"/>
      <c r="GI890" s="26"/>
      <c r="GJ890" s="26"/>
      <c r="GK890" s="26"/>
      <c r="GL890" s="65"/>
      <c r="GM890" s="26"/>
      <c r="GN890" s="26"/>
      <c r="GO890" s="26"/>
      <c r="GP890" s="26"/>
      <c r="GQ890" s="26"/>
      <c r="GR890" s="26"/>
      <c r="GS890" s="64"/>
      <c r="GT890" s="26"/>
      <c r="GU890" s="26"/>
      <c r="GV890" s="26"/>
      <c r="GW890" s="26"/>
      <c r="GX890" s="64"/>
      <c r="GY890" s="26"/>
      <c r="GZ890" s="26"/>
      <c r="HA890" s="26"/>
      <c r="HB890" s="26"/>
      <c r="HC890" s="65"/>
      <c r="HD890" s="26"/>
      <c r="HE890" s="26"/>
      <c r="HF890" s="26"/>
      <c r="HG890" s="26"/>
      <c r="HH890" s="65">
        <v>10</v>
      </c>
      <c r="HI890" s="26"/>
      <c r="HJ890" s="26"/>
      <c r="HK890" s="25"/>
      <c r="HL890" s="25"/>
    </row>
    <row r="891" spans="1:220" ht="15.75" customHeight="1" x14ac:dyDescent="0.2">
      <c r="A891" s="58">
        <v>43686.967534722222</v>
      </c>
      <c r="B891" s="32">
        <v>589394</v>
      </c>
      <c r="C891" s="26">
        <v>50.18</v>
      </c>
      <c r="D891" s="86" t="s">
        <v>930</v>
      </c>
      <c r="E891" s="32">
        <f t="shared" si="23"/>
        <v>0</v>
      </c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  <c r="CI891" s="25"/>
      <c r="CJ891" s="25"/>
      <c r="CK891" s="25"/>
      <c r="CL891" s="25"/>
      <c r="CM891" s="25"/>
      <c r="CN891" s="25"/>
      <c r="CO891" s="25"/>
      <c r="CP891" s="25"/>
      <c r="CQ891" s="25"/>
      <c r="CR891" s="25"/>
      <c r="CS891" s="25"/>
      <c r="CT891" s="25"/>
      <c r="CU891" s="25"/>
      <c r="CV891" s="25"/>
      <c r="CW891" s="25"/>
      <c r="CX891" s="25"/>
      <c r="CY891" s="25"/>
      <c r="CZ891" s="25"/>
      <c r="DA891" s="25"/>
      <c r="DB891" s="25"/>
      <c r="DC891" s="25"/>
      <c r="DD891" s="25"/>
      <c r="DE891" s="25"/>
      <c r="DF891" s="25"/>
      <c r="DG891" s="25"/>
      <c r="DH891" s="25"/>
      <c r="DI891" s="25"/>
      <c r="DJ891" s="25"/>
      <c r="DK891" s="25"/>
      <c r="DL891" s="25"/>
      <c r="DM891" s="25"/>
      <c r="DN891" s="25"/>
      <c r="DO891" s="25"/>
      <c r="DP891" s="25"/>
      <c r="DQ891" s="25"/>
      <c r="DR891" s="25"/>
      <c r="DS891" s="25"/>
      <c r="DT891" s="25"/>
      <c r="DU891" s="25"/>
      <c r="DV891" s="25"/>
      <c r="DW891" s="25"/>
      <c r="DX891" s="25"/>
      <c r="DY891" s="25"/>
      <c r="DZ891" s="25"/>
      <c r="EA891" s="25"/>
      <c r="EB891" s="25"/>
      <c r="EC891" s="25"/>
      <c r="ED891" s="25"/>
      <c r="EE891" s="25"/>
      <c r="EF891" s="25"/>
      <c r="EG891" s="25"/>
      <c r="EH891" s="25"/>
      <c r="EI891" s="25"/>
      <c r="EJ891" s="25"/>
      <c r="EK891" s="25"/>
      <c r="EL891" s="25"/>
      <c r="EM891" s="25"/>
      <c r="EN891" s="25"/>
      <c r="EO891" s="25"/>
      <c r="EP891" s="25"/>
      <c r="EQ891" s="25"/>
      <c r="ER891" s="25"/>
      <c r="ES891" s="25"/>
      <c r="ET891" s="25"/>
      <c r="EU891" s="25"/>
      <c r="EV891" s="25"/>
      <c r="EW891" s="25"/>
      <c r="EX891" s="25"/>
      <c r="EY891" s="25"/>
      <c r="EZ891" s="25"/>
      <c r="FA891" s="25"/>
      <c r="FB891" s="25"/>
      <c r="FC891" s="25"/>
      <c r="FD891" s="25"/>
      <c r="FE891" s="25"/>
      <c r="FF891" s="25"/>
      <c r="FG891" s="25"/>
      <c r="FH891" s="25"/>
      <c r="FI891" s="25"/>
      <c r="FJ891" s="25"/>
      <c r="FK891" s="25"/>
      <c r="FL891" s="25"/>
      <c r="FM891" s="25"/>
      <c r="FN891" s="25"/>
      <c r="FO891" s="25"/>
      <c r="FP891" s="25"/>
      <c r="FQ891" s="25"/>
      <c r="FR891" s="25"/>
      <c r="FS891" s="25"/>
      <c r="FT891" s="25"/>
      <c r="FU891" s="25"/>
      <c r="FV891" s="77"/>
      <c r="FW891" s="28"/>
      <c r="FX891" s="28"/>
      <c r="FY891" s="26"/>
      <c r="FZ891" s="26"/>
      <c r="GA891" s="26"/>
      <c r="GB891" s="26"/>
      <c r="GC891" s="26"/>
      <c r="GD891" s="26"/>
      <c r="GE891" s="26"/>
      <c r="GF891" s="26"/>
      <c r="GG891" s="26"/>
      <c r="GH891" s="26"/>
      <c r="GI891" s="26"/>
      <c r="GJ891" s="26"/>
      <c r="GK891" s="26"/>
      <c r="GL891" s="65"/>
      <c r="GM891" s="26"/>
      <c r="GN891" s="26"/>
      <c r="GO891" s="26"/>
      <c r="GP891" s="26"/>
      <c r="GQ891" s="26"/>
      <c r="GR891" s="26"/>
      <c r="GS891" s="64"/>
      <c r="GT891" s="26"/>
      <c r="GU891" s="26"/>
      <c r="GV891" s="26"/>
      <c r="GW891" s="26"/>
      <c r="GX891" s="64"/>
      <c r="GY891" s="26"/>
      <c r="GZ891" s="26"/>
      <c r="HA891" s="26"/>
      <c r="HB891" s="26"/>
      <c r="HC891" s="65"/>
      <c r="HD891" s="26"/>
      <c r="HE891" s="26"/>
      <c r="HF891" s="26"/>
      <c r="HG891" s="26"/>
      <c r="HH891" s="65">
        <v>50.18</v>
      </c>
      <c r="HI891" s="26"/>
      <c r="HJ891" s="26"/>
      <c r="HK891" s="25"/>
      <c r="HL891" s="25"/>
    </row>
    <row r="892" spans="1:220" ht="15.75" customHeight="1" x14ac:dyDescent="0.2">
      <c r="A892" s="58">
        <v>43689.115925925929</v>
      </c>
      <c r="B892" s="32">
        <v>589724</v>
      </c>
      <c r="C892" s="26">
        <v>50</v>
      </c>
      <c r="D892" s="86" t="s">
        <v>931</v>
      </c>
      <c r="E892" s="32">
        <f t="shared" si="23"/>
        <v>0</v>
      </c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  <c r="CI892" s="25"/>
      <c r="CJ892" s="25"/>
      <c r="CK892" s="25"/>
      <c r="CL892" s="25"/>
      <c r="CM892" s="25"/>
      <c r="CN892" s="25"/>
      <c r="CO892" s="25"/>
      <c r="CP892" s="25"/>
      <c r="CQ892" s="25"/>
      <c r="CR892" s="25"/>
      <c r="CS892" s="25"/>
      <c r="CT892" s="25"/>
      <c r="CU892" s="25"/>
      <c r="CV892" s="25"/>
      <c r="CW892" s="25"/>
      <c r="CX892" s="25"/>
      <c r="CY892" s="25"/>
      <c r="CZ892" s="25"/>
      <c r="DA892" s="25"/>
      <c r="DB892" s="25"/>
      <c r="DC892" s="25"/>
      <c r="DD892" s="25"/>
      <c r="DE892" s="25"/>
      <c r="DF892" s="25"/>
      <c r="DG892" s="25"/>
      <c r="DH892" s="25"/>
      <c r="DI892" s="25"/>
      <c r="DJ892" s="25"/>
      <c r="DK892" s="25"/>
      <c r="DL892" s="25"/>
      <c r="DM892" s="25"/>
      <c r="DN892" s="25"/>
      <c r="DO892" s="25"/>
      <c r="DP892" s="25"/>
      <c r="DQ892" s="25"/>
      <c r="DR892" s="25"/>
      <c r="DS892" s="25"/>
      <c r="DT892" s="25"/>
      <c r="DU892" s="25"/>
      <c r="DV892" s="25"/>
      <c r="DW892" s="25"/>
      <c r="DX892" s="25"/>
      <c r="DY892" s="25"/>
      <c r="DZ892" s="25"/>
      <c r="EA892" s="25"/>
      <c r="EB892" s="25"/>
      <c r="EC892" s="25"/>
      <c r="ED892" s="25"/>
      <c r="EE892" s="25"/>
      <c r="EF892" s="25"/>
      <c r="EG892" s="25"/>
      <c r="EH892" s="25"/>
      <c r="EI892" s="25"/>
      <c r="EJ892" s="25"/>
      <c r="EK892" s="25"/>
      <c r="EL892" s="25"/>
      <c r="EM892" s="25"/>
      <c r="EN892" s="25"/>
      <c r="EO892" s="25"/>
      <c r="EP892" s="25"/>
      <c r="EQ892" s="25"/>
      <c r="ER892" s="25"/>
      <c r="ES892" s="25"/>
      <c r="ET892" s="25"/>
      <c r="EU892" s="25"/>
      <c r="EV892" s="25"/>
      <c r="EW892" s="25"/>
      <c r="EX892" s="25"/>
      <c r="EY892" s="25"/>
      <c r="EZ892" s="25"/>
      <c r="FA892" s="25"/>
      <c r="FB892" s="25"/>
      <c r="FC892" s="25"/>
      <c r="FD892" s="25"/>
      <c r="FE892" s="25"/>
      <c r="FF892" s="25"/>
      <c r="FG892" s="25"/>
      <c r="FH892" s="25"/>
      <c r="FI892" s="25"/>
      <c r="FJ892" s="25"/>
      <c r="FK892" s="25"/>
      <c r="FL892" s="25"/>
      <c r="FM892" s="25"/>
      <c r="FN892" s="25"/>
      <c r="FO892" s="25"/>
      <c r="FP892" s="25"/>
      <c r="FQ892" s="25"/>
      <c r="FR892" s="25"/>
      <c r="FS892" s="25"/>
      <c r="FT892" s="25"/>
      <c r="FU892" s="25"/>
      <c r="FV892" s="77"/>
      <c r="FW892" s="28"/>
      <c r="FX892" s="28"/>
      <c r="FY892" s="26"/>
      <c r="FZ892" s="26"/>
      <c r="GA892" s="26"/>
      <c r="GB892" s="26"/>
      <c r="GC892" s="26"/>
      <c r="GD892" s="26"/>
      <c r="GE892" s="26"/>
      <c r="GF892" s="26"/>
      <c r="GG892" s="26"/>
      <c r="GH892" s="26"/>
      <c r="GI892" s="26"/>
      <c r="GJ892" s="26"/>
      <c r="GK892" s="26"/>
      <c r="GL892" s="65"/>
      <c r="GM892" s="26"/>
      <c r="GN892" s="26"/>
      <c r="GO892" s="26"/>
      <c r="GP892" s="26"/>
      <c r="GQ892" s="26"/>
      <c r="GR892" s="26"/>
      <c r="GS892" s="64"/>
      <c r="GT892" s="26"/>
      <c r="GU892" s="26"/>
      <c r="GV892" s="26"/>
      <c r="GW892" s="26"/>
      <c r="GX892" s="64"/>
      <c r="GY892" s="26"/>
      <c r="GZ892" s="26"/>
      <c r="HA892" s="26"/>
      <c r="HB892" s="26"/>
      <c r="HC892" s="65"/>
      <c r="HD892" s="26"/>
      <c r="HE892" s="26"/>
      <c r="HF892" s="26">
        <v>50</v>
      </c>
      <c r="HG892" s="26"/>
      <c r="HH892" s="65"/>
      <c r="HI892" s="26"/>
      <c r="HJ892" s="26"/>
      <c r="HK892" s="25"/>
      <c r="HL892" s="25"/>
    </row>
    <row r="893" spans="1:220" ht="15.75" customHeight="1" x14ac:dyDescent="0.2">
      <c r="A893" s="58">
        <v>43689.115925925929</v>
      </c>
      <c r="B893" s="32">
        <v>589724</v>
      </c>
      <c r="C893" s="26">
        <v>50</v>
      </c>
      <c r="D893" s="86" t="s">
        <v>932</v>
      </c>
      <c r="E893" s="32">
        <f t="shared" si="23"/>
        <v>0</v>
      </c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  <c r="CI893" s="25"/>
      <c r="CJ893" s="25"/>
      <c r="CK893" s="25"/>
      <c r="CL893" s="25"/>
      <c r="CM893" s="25"/>
      <c r="CN893" s="25"/>
      <c r="CO893" s="25"/>
      <c r="CP893" s="25"/>
      <c r="CQ893" s="25"/>
      <c r="CR893" s="25"/>
      <c r="CS893" s="25"/>
      <c r="CT893" s="25"/>
      <c r="CU893" s="25"/>
      <c r="CV893" s="25"/>
      <c r="CW893" s="25"/>
      <c r="CX893" s="25"/>
      <c r="CY893" s="25"/>
      <c r="CZ893" s="25"/>
      <c r="DA893" s="25"/>
      <c r="DB893" s="25"/>
      <c r="DC893" s="25"/>
      <c r="DD893" s="25"/>
      <c r="DE893" s="25"/>
      <c r="DF893" s="25"/>
      <c r="DG893" s="25"/>
      <c r="DH893" s="25"/>
      <c r="DI893" s="25"/>
      <c r="DJ893" s="25"/>
      <c r="DK893" s="25"/>
      <c r="DL893" s="25"/>
      <c r="DM893" s="25"/>
      <c r="DN893" s="25"/>
      <c r="DO893" s="25"/>
      <c r="DP893" s="25"/>
      <c r="DQ893" s="25"/>
      <c r="DR893" s="25"/>
      <c r="DS893" s="25"/>
      <c r="DT893" s="25"/>
      <c r="DU893" s="25"/>
      <c r="DV893" s="25"/>
      <c r="DW893" s="25"/>
      <c r="DX893" s="25"/>
      <c r="DY893" s="25"/>
      <c r="DZ893" s="25"/>
      <c r="EA893" s="25"/>
      <c r="EB893" s="25"/>
      <c r="EC893" s="25"/>
      <c r="ED893" s="25"/>
      <c r="EE893" s="25"/>
      <c r="EF893" s="25"/>
      <c r="EG893" s="25"/>
      <c r="EH893" s="25"/>
      <c r="EI893" s="25"/>
      <c r="EJ893" s="25"/>
      <c r="EK893" s="25"/>
      <c r="EL893" s="25"/>
      <c r="EM893" s="25"/>
      <c r="EN893" s="25"/>
      <c r="EO893" s="25"/>
      <c r="EP893" s="25"/>
      <c r="EQ893" s="25"/>
      <c r="ER893" s="25"/>
      <c r="ES893" s="25"/>
      <c r="ET893" s="25"/>
      <c r="EU893" s="25"/>
      <c r="EV893" s="25"/>
      <c r="EW893" s="25"/>
      <c r="EX893" s="25"/>
      <c r="EY893" s="25"/>
      <c r="EZ893" s="25"/>
      <c r="FA893" s="25"/>
      <c r="FB893" s="25"/>
      <c r="FC893" s="25"/>
      <c r="FD893" s="25"/>
      <c r="FE893" s="25"/>
      <c r="FF893" s="25"/>
      <c r="FG893" s="25"/>
      <c r="FH893" s="25"/>
      <c r="FI893" s="25"/>
      <c r="FJ893" s="25"/>
      <c r="FK893" s="25"/>
      <c r="FL893" s="25"/>
      <c r="FM893" s="25"/>
      <c r="FN893" s="25"/>
      <c r="FO893" s="25"/>
      <c r="FP893" s="25"/>
      <c r="FQ893" s="25"/>
      <c r="FR893" s="25"/>
      <c r="FS893" s="25"/>
      <c r="FT893" s="25"/>
      <c r="FU893" s="25"/>
      <c r="FV893" s="77"/>
      <c r="FW893" s="28"/>
      <c r="FX893" s="28"/>
      <c r="FY893" s="26"/>
      <c r="FZ893" s="26"/>
      <c r="GA893" s="26"/>
      <c r="GB893" s="26"/>
      <c r="GC893" s="26"/>
      <c r="GD893" s="26"/>
      <c r="GE893" s="26"/>
      <c r="GF893" s="26"/>
      <c r="GG893" s="26"/>
      <c r="GH893" s="26"/>
      <c r="GI893" s="26"/>
      <c r="GJ893" s="26"/>
      <c r="GK893" s="26"/>
      <c r="GL893" s="65"/>
      <c r="GM893" s="26"/>
      <c r="GN893" s="26"/>
      <c r="GO893" s="26"/>
      <c r="GP893" s="26"/>
      <c r="GQ893" s="26"/>
      <c r="GR893" s="26"/>
      <c r="GS893" s="64"/>
      <c r="GT893" s="26"/>
      <c r="GU893" s="26"/>
      <c r="GV893" s="26"/>
      <c r="GW893" s="26"/>
      <c r="GX893" s="64"/>
      <c r="GY893" s="26"/>
      <c r="GZ893" s="26"/>
      <c r="HA893" s="26"/>
      <c r="HB893" s="26"/>
      <c r="HC893" s="65"/>
      <c r="HD893" s="26"/>
      <c r="HE893" s="26"/>
      <c r="HF893" s="26">
        <v>50</v>
      </c>
      <c r="HG893" s="26"/>
      <c r="HH893" s="65"/>
      <c r="HI893" s="26"/>
      <c r="HJ893" s="26"/>
      <c r="HK893" s="25"/>
      <c r="HL893" s="25"/>
    </row>
    <row r="894" spans="1:220" ht="15.75" customHeight="1" x14ac:dyDescent="0.2">
      <c r="A894" s="58">
        <v>43690.286736111113</v>
      </c>
      <c r="B894" s="32">
        <v>589890</v>
      </c>
      <c r="C894" s="26">
        <v>20</v>
      </c>
      <c r="D894" s="86" t="s">
        <v>933</v>
      </c>
      <c r="E894" s="32">
        <f t="shared" si="23"/>
        <v>0</v>
      </c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  <c r="CI894" s="25"/>
      <c r="CJ894" s="25"/>
      <c r="CK894" s="25"/>
      <c r="CL894" s="25"/>
      <c r="CM894" s="25"/>
      <c r="CN894" s="25"/>
      <c r="CO894" s="25"/>
      <c r="CP894" s="25"/>
      <c r="CQ894" s="25"/>
      <c r="CR894" s="25"/>
      <c r="CS894" s="25"/>
      <c r="CT894" s="25"/>
      <c r="CU894" s="25"/>
      <c r="CV894" s="25"/>
      <c r="CW894" s="25"/>
      <c r="CX894" s="25"/>
      <c r="CY894" s="25"/>
      <c r="CZ894" s="25"/>
      <c r="DA894" s="25"/>
      <c r="DB894" s="25"/>
      <c r="DC894" s="25"/>
      <c r="DD894" s="25"/>
      <c r="DE894" s="25"/>
      <c r="DF894" s="25"/>
      <c r="DG894" s="25"/>
      <c r="DH894" s="25"/>
      <c r="DI894" s="25"/>
      <c r="DJ894" s="25"/>
      <c r="DK894" s="25"/>
      <c r="DL894" s="25"/>
      <c r="DM894" s="25"/>
      <c r="DN894" s="25"/>
      <c r="DO894" s="25"/>
      <c r="DP894" s="25"/>
      <c r="DQ894" s="25"/>
      <c r="DR894" s="25"/>
      <c r="DS894" s="25"/>
      <c r="DT894" s="25"/>
      <c r="DU894" s="25"/>
      <c r="DV894" s="25"/>
      <c r="DW894" s="25"/>
      <c r="DX894" s="25"/>
      <c r="DY894" s="25"/>
      <c r="DZ894" s="25"/>
      <c r="EA894" s="25"/>
      <c r="EB894" s="25"/>
      <c r="EC894" s="25"/>
      <c r="ED894" s="25"/>
      <c r="EE894" s="25"/>
      <c r="EF894" s="25"/>
      <c r="EG894" s="25"/>
      <c r="EH894" s="25"/>
      <c r="EI894" s="25"/>
      <c r="EJ894" s="25"/>
      <c r="EK894" s="25"/>
      <c r="EL894" s="25"/>
      <c r="EM894" s="25"/>
      <c r="EN894" s="25"/>
      <c r="EO894" s="25"/>
      <c r="EP894" s="25"/>
      <c r="EQ894" s="25"/>
      <c r="ER894" s="25"/>
      <c r="ES894" s="25"/>
      <c r="ET894" s="25"/>
      <c r="EU894" s="25"/>
      <c r="EV894" s="25"/>
      <c r="EW894" s="25"/>
      <c r="EX894" s="25"/>
      <c r="EY894" s="25"/>
      <c r="EZ894" s="25"/>
      <c r="FA894" s="25"/>
      <c r="FB894" s="25"/>
      <c r="FC894" s="25"/>
      <c r="FD894" s="25"/>
      <c r="FE894" s="25"/>
      <c r="FF894" s="25"/>
      <c r="FG894" s="25"/>
      <c r="FH894" s="25"/>
      <c r="FI894" s="25"/>
      <c r="FJ894" s="25"/>
      <c r="FK894" s="25"/>
      <c r="FL894" s="25"/>
      <c r="FM894" s="25"/>
      <c r="FN894" s="25"/>
      <c r="FO894" s="25"/>
      <c r="FP894" s="25"/>
      <c r="FQ894" s="25"/>
      <c r="FR894" s="25"/>
      <c r="FS894" s="25"/>
      <c r="FT894" s="25"/>
      <c r="FU894" s="25"/>
      <c r="FV894" s="77"/>
      <c r="FW894" s="28"/>
      <c r="FX894" s="28"/>
      <c r="FY894" s="26"/>
      <c r="FZ894" s="26"/>
      <c r="GA894" s="26"/>
      <c r="GB894" s="26"/>
      <c r="GC894" s="26"/>
      <c r="GD894" s="26"/>
      <c r="GE894" s="26"/>
      <c r="GF894" s="26"/>
      <c r="GG894" s="26"/>
      <c r="GH894" s="26"/>
      <c r="GI894" s="26"/>
      <c r="GJ894" s="26"/>
      <c r="GK894" s="26"/>
      <c r="GL894" s="65"/>
      <c r="GM894" s="26"/>
      <c r="GN894" s="26"/>
      <c r="GO894" s="26"/>
      <c r="GP894" s="26"/>
      <c r="GQ894" s="26"/>
      <c r="GR894" s="26"/>
      <c r="GS894" s="64"/>
      <c r="GT894" s="26"/>
      <c r="GU894" s="26"/>
      <c r="GV894" s="26"/>
      <c r="GW894" s="26"/>
      <c r="GX894" s="64"/>
      <c r="GY894" s="26"/>
      <c r="GZ894" s="26"/>
      <c r="HA894" s="26"/>
      <c r="HB894" s="26"/>
      <c r="HC894" s="65"/>
      <c r="HD894" s="26"/>
      <c r="HE894" s="26">
        <v>20</v>
      </c>
      <c r="HF894" s="26"/>
      <c r="HG894" s="26"/>
      <c r="HH894" s="65"/>
      <c r="HI894" s="26"/>
      <c r="HJ894" s="26"/>
      <c r="HK894" s="25"/>
      <c r="HL894" s="25"/>
    </row>
    <row r="895" spans="1:220" ht="15.75" customHeight="1" x14ac:dyDescent="0.2">
      <c r="A895" s="58">
        <v>43686.976817129631</v>
      </c>
      <c r="B895" s="32">
        <v>589397</v>
      </c>
      <c r="C895" s="26">
        <v>51.14</v>
      </c>
      <c r="D895" s="86" t="s">
        <v>934</v>
      </c>
      <c r="E895" s="32">
        <f t="shared" si="23"/>
        <v>3.9999999999999147E-2</v>
      </c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  <c r="CI895" s="25"/>
      <c r="CJ895" s="25"/>
      <c r="CK895" s="25"/>
      <c r="CL895" s="25"/>
      <c r="CM895" s="25"/>
      <c r="CN895" s="25"/>
      <c r="CO895" s="25"/>
      <c r="CP895" s="25"/>
      <c r="CQ895" s="25"/>
      <c r="CR895" s="25"/>
      <c r="CS895" s="25"/>
      <c r="CT895" s="25"/>
      <c r="CU895" s="25"/>
      <c r="CV895" s="25"/>
      <c r="CW895" s="25"/>
      <c r="CX895" s="25"/>
      <c r="CY895" s="25"/>
      <c r="CZ895" s="25"/>
      <c r="DA895" s="25"/>
      <c r="DB895" s="25"/>
      <c r="DC895" s="25"/>
      <c r="DD895" s="25"/>
      <c r="DE895" s="25"/>
      <c r="DF895" s="25"/>
      <c r="DG895" s="25"/>
      <c r="DH895" s="25"/>
      <c r="DI895" s="25"/>
      <c r="DJ895" s="25"/>
      <c r="DK895" s="25"/>
      <c r="DL895" s="25"/>
      <c r="DM895" s="25"/>
      <c r="DN895" s="25"/>
      <c r="DO895" s="25"/>
      <c r="DP895" s="25"/>
      <c r="DQ895" s="25"/>
      <c r="DR895" s="25"/>
      <c r="DS895" s="25"/>
      <c r="DT895" s="25"/>
      <c r="DU895" s="25"/>
      <c r="DV895" s="25"/>
      <c r="DW895" s="25"/>
      <c r="DX895" s="25"/>
      <c r="DY895" s="25"/>
      <c r="DZ895" s="25"/>
      <c r="EA895" s="25"/>
      <c r="EB895" s="25"/>
      <c r="EC895" s="25"/>
      <c r="ED895" s="25"/>
      <c r="EE895" s="25"/>
      <c r="EF895" s="25"/>
      <c r="EG895" s="25"/>
      <c r="EH895" s="25"/>
      <c r="EI895" s="25"/>
      <c r="EJ895" s="25"/>
      <c r="EK895" s="25"/>
      <c r="EL895" s="25"/>
      <c r="EM895" s="25"/>
      <c r="EN895" s="25"/>
      <c r="EO895" s="25"/>
      <c r="EP895" s="25"/>
      <c r="EQ895" s="25"/>
      <c r="ER895" s="25"/>
      <c r="ES895" s="25"/>
      <c r="ET895" s="25"/>
      <c r="EU895" s="25"/>
      <c r="EV895" s="25"/>
      <c r="EW895" s="25"/>
      <c r="EX895" s="25"/>
      <c r="EY895" s="25"/>
      <c r="EZ895" s="25"/>
      <c r="FA895" s="25"/>
      <c r="FB895" s="25"/>
      <c r="FC895" s="25"/>
      <c r="FD895" s="25"/>
      <c r="FE895" s="25"/>
      <c r="FF895" s="25"/>
      <c r="FG895" s="25"/>
      <c r="FH895" s="25"/>
      <c r="FI895" s="25"/>
      <c r="FJ895" s="25"/>
      <c r="FK895" s="25"/>
      <c r="FL895" s="25"/>
      <c r="FM895" s="25"/>
      <c r="FN895" s="25"/>
      <c r="FO895" s="25"/>
      <c r="FP895" s="25"/>
      <c r="FQ895" s="25"/>
      <c r="FR895" s="25"/>
      <c r="FS895" s="25"/>
      <c r="FT895" s="25"/>
      <c r="FU895" s="25"/>
      <c r="FV895" s="77"/>
      <c r="FW895" s="28"/>
      <c r="FX895" s="28"/>
      <c r="FY895" s="26"/>
      <c r="FZ895" s="26"/>
      <c r="GA895" s="26"/>
      <c r="GB895" s="26"/>
      <c r="GC895" s="26"/>
      <c r="GD895" s="26"/>
      <c r="GE895" s="26"/>
      <c r="GF895" s="26"/>
      <c r="GG895" s="26"/>
      <c r="GH895" s="26"/>
      <c r="GI895" s="26"/>
      <c r="GJ895" s="26"/>
      <c r="GK895" s="26"/>
      <c r="GL895" s="65"/>
      <c r="GM895" s="26"/>
      <c r="GN895" s="26"/>
      <c r="GO895" s="26"/>
      <c r="GP895" s="26"/>
      <c r="GQ895" s="26"/>
      <c r="GR895" s="26"/>
      <c r="GS895" s="64"/>
      <c r="GT895" s="26"/>
      <c r="GU895" s="26"/>
      <c r="GV895" s="26"/>
      <c r="GW895" s="26"/>
      <c r="GX895" s="64"/>
      <c r="GY895" s="26"/>
      <c r="GZ895" s="26"/>
      <c r="HA895" s="26"/>
      <c r="HB895" s="26"/>
      <c r="HC895" s="65"/>
      <c r="HD895" s="26"/>
      <c r="HE895" s="26"/>
      <c r="HF895" s="26">
        <v>51.1</v>
      </c>
      <c r="HG895" s="26"/>
      <c r="HH895" s="65"/>
      <c r="HI895" s="26"/>
      <c r="HJ895" s="26"/>
      <c r="HK895" s="25"/>
      <c r="HL895" s="25"/>
    </row>
    <row r="896" spans="1:220" ht="15.75" customHeight="1" x14ac:dyDescent="0.2">
      <c r="A896" s="25"/>
      <c r="B896" s="29"/>
      <c r="C896" s="26"/>
      <c r="D896" s="29"/>
      <c r="E896" s="32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  <c r="CI896" s="25"/>
      <c r="CJ896" s="25"/>
      <c r="CK896" s="25"/>
      <c r="CL896" s="25"/>
      <c r="CM896" s="25"/>
      <c r="CN896" s="25"/>
      <c r="CO896" s="25"/>
      <c r="CP896" s="25"/>
      <c r="CQ896" s="25"/>
      <c r="CR896" s="25"/>
      <c r="CS896" s="25"/>
      <c r="CT896" s="25"/>
      <c r="CU896" s="25"/>
      <c r="CV896" s="25"/>
      <c r="CW896" s="25"/>
      <c r="CX896" s="25"/>
      <c r="CY896" s="25"/>
      <c r="CZ896" s="25"/>
      <c r="DA896" s="25"/>
      <c r="DB896" s="25"/>
      <c r="DC896" s="25"/>
      <c r="DD896" s="25"/>
      <c r="DE896" s="25"/>
      <c r="DF896" s="25"/>
      <c r="DG896" s="25"/>
      <c r="DH896" s="25"/>
      <c r="DI896" s="25"/>
      <c r="DJ896" s="25"/>
      <c r="DK896" s="25"/>
      <c r="DL896" s="25"/>
      <c r="DM896" s="25"/>
      <c r="DN896" s="25"/>
      <c r="DO896" s="25"/>
      <c r="DP896" s="25"/>
      <c r="DQ896" s="25"/>
      <c r="DR896" s="25"/>
      <c r="DS896" s="25"/>
      <c r="DT896" s="25"/>
      <c r="DU896" s="25"/>
      <c r="DV896" s="25"/>
      <c r="DW896" s="25"/>
      <c r="DX896" s="25"/>
      <c r="DY896" s="25"/>
      <c r="DZ896" s="25"/>
      <c r="EA896" s="25"/>
      <c r="EB896" s="25"/>
      <c r="EC896" s="25"/>
      <c r="ED896" s="25"/>
      <c r="EE896" s="25"/>
      <c r="EF896" s="25"/>
      <c r="EG896" s="25"/>
      <c r="EH896" s="25"/>
      <c r="EI896" s="25"/>
      <c r="EJ896" s="25"/>
      <c r="EK896" s="25"/>
      <c r="EL896" s="25"/>
      <c r="EM896" s="25"/>
      <c r="EN896" s="25"/>
      <c r="EO896" s="25"/>
      <c r="EP896" s="25"/>
      <c r="EQ896" s="25"/>
      <c r="ER896" s="25"/>
      <c r="ES896" s="25"/>
      <c r="ET896" s="25"/>
      <c r="EU896" s="25"/>
      <c r="EV896" s="25"/>
      <c r="EW896" s="25"/>
      <c r="EX896" s="25"/>
      <c r="EY896" s="25"/>
      <c r="EZ896" s="25"/>
      <c r="FA896" s="25"/>
      <c r="FB896" s="25"/>
      <c r="FC896" s="25"/>
      <c r="FD896" s="25"/>
      <c r="FE896" s="25"/>
      <c r="FF896" s="25"/>
      <c r="FG896" s="25"/>
      <c r="FH896" s="25"/>
      <c r="FI896" s="25"/>
      <c r="FJ896" s="25"/>
      <c r="FK896" s="25"/>
      <c r="FL896" s="25"/>
      <c r="FM896" s="25"/>
      <c r="FN896" s="25"/>
      <c r="FO896" s="25"/>
      <c r="FP896" s="25"/>
      <c r="FQ896" s="25"/>
      <c r="FR896" s="25"/>
      <c r="FS896" s="25"/>
      <c r="FT896" s="25"/>
      <c r="FU896" s="25"/>
      <c r="FV896" s="28"/>
      <c r="FW896" s="27"/>
      <c r="FX896" s="27"/>
      <c r="FY896" s="25"/>
      <c r="FZ896" s="25"/>
      <c r="GA896" s="25"/>
      <c r="GB896" s="25"/>
      <c r="GC896" s="25"/>
      <c r="GD896" s="25"/>
      <c r="GE896" s="25"/>
      <c r="GF896" s="25"/>
      <c r="GG896" s="25"/>
      <c r="GH896" s="25"/>
      <c r="GI896" s="25"/>
      <c r="GJ896" s="25"/>
      <c r="GK896" s="25"/>
      <c r="GL896" s="25"/>
      <c r="GM896" s="25"/>
      <c r="GN896" s="25"/>
      <c r="GO896" s="25"/>
      <c r="GP896" s="25"/>
      <c r="GQ896" s="25"/>
      <c r="GR896" s="25"/>
      <c r="GS896" s="25"/>
      <c r="GT896" s="25"/>
      <c r="GU896" s="25"/>
      <c r="GV896" s="25"/>
      <c r="GW896" s="25"/>
      <c r="GX896" s="25"/>
      <c r="GY896" s="25"/>
      <c r="GZ896" s="25"/>
      <c r="HA896" s="25"/>
      <c r="HB896" s="25"/>
      <c r="HC896" s="25"/>
      <c r="HD896" s="25"/>
      <c r="HE896" s="25"/>
      <c r="HF896" s="25"/>
      <c r="HG896" s="25"/>
      <c r="HH896" s="25"/>
      <c r="HI896" s="25"/>
      <c r="HJ896" s="25"/>
      <c r="HK896" s="25"/>
      <c r="HL896" s="25"/>
    </row>
    <row r="897" spans="1:220" ht="15.75" customHeight="1" x14ac:dyDescent="0.2">
      <c r="A897" s="25"/>
      <c r="B897" s="29"/>
      <c r="C897" s="26"/>
      <c r="D897" s="29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  <c r="CI897" s="25"/>
      <c r="CJ897" s="25"/>
      <c r="CK897" s="25"/>
      <c r="CL897" s="25"/>
      <c r="CM897" s="25"/>
      <c r="CN897" s="25"/>
      <c r="CO897" s="25"/>
      <c r="CP897" s="25"/>
      <c r="CQ897" s="25"/>
      <c r="CR897" s="25"/>
      <c r="CS897" s="25"/>
      <c r="CT897" s="25"/>
      <c r="CU897" s="25"/>
      <c r="CV897" s="25"/>
      <c r="CW897" s="25"/>
      <c r="CX897" s="25"/>
      <c r="CY897" s="25"/>
      <c r="CZ897" s="25"/>
      <c r="DA897" s="25"/>
      <c r="DB897" s="25"/>
      <c r="DC897" s="25"/>
      <c r="DD897" s="25"/>
      <c r="DE897" s="25"/>
      <c r="DF897" s="25"/>
      <c r="DG897" s="25"/>
      <c r="DH897" s="25"/>
      <c r="DI897" s="25"/>
      <c r="DJ897" s="25"/>
      <c r="DK897" s="25"/>
      <c r="DL897" s="25"/>
      <c r="DM897" s="25"/>
      <c r="DN897" s="25"/>
      <c r="DO897" s="25"/>
      <c r="DP897" s="25"/>
      <c r="DQ897" s="25"/>
      <c r="DR897" s="25"/>
      <c r="DS897" s="25"/>
      <c r="DT897" s="25"/>
      <c r="DU897" s="25"/>
      <c r="DV897" s="25"/>
      <c r="DW897" s="25"/>
      <c r="DX897" s="25"/>
      <c r="DY897" s="25"/>
      <c r="DZ897" s="25"/>
      <c r="EA897" s="25"/>
      <c r="EB897" s="25"/>
      <c r="EC897" s="25"/>
      <c r="ED897" s="25"/>
      <c r="EE897" s="25"/>
      <c r="EF897" s="25"/>
      <c r="EG897" s="25"/>
      <c r="EH897" s="25"/>
      <c r="EI897" s="25"/>
      <c r="EJ897" s="25"/>
      <c r="EK897" s="25"/>
      <c r="EL897" s="25"/>
      <c r="EM897" s="25"/>
      <c r="EN897" s="25"/>
      <c r="EO897" s="25"/>
      <c r="EP897" s="25"/>
      <c r="EQ897" s="25"/>
      <c r="ER897" s="25"/>
      <c r="ES897" s="25"/>
      <c r="ET897" s="25"/>
      <c r="EU897" s="25"/>
      <c r="EV897" s="25"/>
      <c r="EW897" s="25"/>
      <c r="EX897" s="25"/>
      <c r="EY897" s="25"/>
      <c r="EZ897" s="25"/>
      <c r="FA897" s="25"/>
      <c r="FB897" s="25"/>
      <c r="FC897" s="25"/>
      <c r="FD897" s="25"/>
      <c r="FE897" s="25"/>
      <c r="FF897" s="25"/>
      <c r="FG897" s="25"/>
      <c r="FH897" s="25"/>
      <c r="FI897" s="25"/>
      <c r="FJ897" s="25"/>
      <c r="FK897" s="25"/>
      <c r="FL897" s="25"/>
      <c r="FM897" s="25"/>
      <c r="FN897" s="25"/>
      <c r="FO897" s="25"/>
      <c r="FP897" s="25"/>
      <c r="FQ897" s="25"/>
      <c r="FR897" s="25"/>
      <c r="FS897" s="25"/>
      <c r="FT897" s="25"/>
      <c r="FU897" s="25"/>
      <c r="FV897" s="28"/>
      <c r="FW897" s="27"/>
      <c r="FX897" s="27"/>
      <c r="FY897" s="25"/>
      <c r="FZ897" s="25"/>
      <c r="GA897" s="25"/>
      <c r="GB897" s="25"/>
      <c r="GC897" s="25"/>
      <c r="GD897" s="25"/>
      <c r="GE897" s="25"/>
      <c r="GF897" s="25"/>
      <c r="GG897" s="25"/>
      <c r="GH897" s="25"/>
      <c r="GI897" s="25"/>
      <c r="GJ897" s="25"/>
      <c r="GK897" s="25"/>
      <c r="GL897" s="25"/>
      <c r="GM897" s="25"/>
      <c r="GN897" s="25"/>
      <c r="GO897" s="25"/>
      <c r="GP897" s="25"/>
      <c r="GQ897" s="25"/>
      <c r="GR897" s="25"/>
      <c r="GS897" s="25"/>
      <c r="GT897" s="25"/>
      <c r="GU897" s="25"/>
      <c r="GV897" s="25"/>
      <c r="GW897" s="25"/>
      <c r="GX897" s="25"/>
      <c r="GY897" s="25"/>
      <c r="GZ897" s="25"/>
      <c r="HA897" s="25"/>
      <c r="HB897" s="25"/>
      <c r="HC897" s="25"/>
      <c r="HD897" s="25"/>
      <c r="HE897" s="25"/>
      <c r="HF897" s="25"/>
      <c r="HG897" s="25"/>
      <c r="HH897" s="25"/>
      <c r="HI897" s="25"/>
      <c r="HJ897" s="25"/>
      <c r="HK897" s="25"/>
      <c r="HL897" s="25"/>
    </row>
    <row r="898" spans="1:220" ht="15.75" customHeight="1" x14ac:dyDescent="0.2">
      <c r="A898" s="25"/>
      <c r="B898" s="29"/>
      <c r="C898" s="26"/>
      <c r="D898" s="29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  <c r="CI898" s="25"/>
      <c r="CJ898" s="25"/>
      <c r="CK898" s="25"/>
      <c r="CL898" s="25"/>
      <c r="CM898" s="25"/>
      <c r="CN898" s="25"/>
      <c r="CO898" s="25"/>
      <c r="CP898" s="25"/>
      <c r="CQ898" s="25"/>
      <c r="CR898" s="25"/>
      <c r="CS898" s="25"/>
      <c r="CT898" s="25"/>
      <c r="CU898" s="25"/>
      <c r="CV898" s="25"/>
      <c r="CW898" s="25"/>
      <c r="CX898" s="25"/>
      <c r="CY898" s="25"/>
      <c r="CZ898" s="25"/>
      <c r="DA898" s="25"/>
      <c r="DB898" s="25"/>
      <c r="DC898" s="25"/>
      <c r="DD898" s="25"/>
      <c r="DE898" s="25"/>
      <c r="DF898" s="25"/>
      <c r="DG898" s="25"/>
      <c r="DH898" s="25"/>
      <c r="DI898" s="25"/>
      <c r="DJ898" s="25"/>
      <c r="DK898" s="25"/>
      <c r="DL898" s="25"/>
      <c r="DM898" s="25"/>
      <c r="DN898" s="25"/>
      <c r="DO898" s="25"/>
      <c r="DP898" s="25"/>
      <c r="DQ898" s="25"/>
      <c r="DR898" s="25"/>
      <c r="DS898" s="25"/>
      <c r="DT898" s="25"/>
      <c r="DU898" s="25"/>
      <c r="DV898" s="25"/>
      <c r="DW898" s="25"/>
      <c r="DX898" s="25"/>
      <c r="DY898" s="25"/>
      <c r="DZ898" s="25"/>
      <c r="EA898" s="25"/>
      <c r="EB898" s="25"/>
      <c r="EC898" s="25"/>
      <c r="ED898" s="25"/>
      <c r="EE898" s="25"/>
      <c r="EF898" s="25"/>
      <c r="EG898" s="25"/>
      <c r="EH898" s="25"/>
      <c r="EI898" s="25"/>
      <c r="EJ898" s="25"/>
      <c r="EK898" s="25"/>
      <c r="EL898" s="25"/>
      <c r="EM898" s="25"/>
      <c r="EN898" s="25"/>
      <c r="EO898" s="25"/>
      <c r="EP898" s="25"/>
      <c r="EQ898" s="25"/>
      <c r="ER898" s="25"/>
      <c r="ES898" s="25"/>
      <c r="ET898" s="25"/>
      <c r="EU898" s="25"/>
      <c r="EV898" s="25"/>
      <c r="EW898" s="25"/>
      <c r="EX898" s="25"/>
      <c r="EY898" s="25"/>
      <c r="EZ898" s="25"/>
      <c r="FA898" s="25"/>
      <c r="FB898" s="25"/>
      <c r="FC898" s="25"/>
      <c r="FD898" s="25"/>
      <c r="FE898" s="25"/>
      <c r="FF898" s="25"/>
      <c r="FG898" s="25"/>
      <c r="FH898" s="25"/>
      <c r="FI898" s="25"/>
      <c r="FJ898" s="25"/>
      <c r="FK898" s="25"/>
      <c r="FL898" s="25"/>
      <c r="FM898" s="25"/>
      <c r="FN898" s="25"/>
      <c r="FO898" s="25"/>
      <c r="FP898" s="25"/>
      <c r="FQ898" s="25"/>
      <c r="FR898" s="25"/>
      <c r="FS898" s="25"/>
      <c r="FT898" s="25"/>
      <c r="FU898" s="25"/>
      <c r="FV898" s="28"/>
      <c r="FW898" s="27"/>
      <c r="FX898" s="27"/>
      <c r="FY898" s="25"/>
      <c r="FZ898" s="25"/>
      <c r="GA898" s="25"/>
      <c r="GB898" s="25"/>
      <c r="GC898" s="25"/>
      <c r="GD898" s="25"/>
      <c r="GE898" s="25"/>
      <c r="GF898" s="25"/>
      <c r="GG898" s="25"/>
      <c r="GH898" s="25"/>
      <c r="GI898" s="25"/>
      <c r="GJ898" s="25"/>
      <c r="GK898" s="25"/>
      <c r="GL898" s="25"/>
      <c r="GM898" s="25"/>
      <c r="GN898" s="25"/>
      <c r="GO898" s="25"/>
      <c r="GP898" s="25"/>
      <c r="GQ898" s="25"/>
      <c r="GR898" s="25"/>
      <c r="GS898" s="25"/>
      <c r="GT898" s="25"/>
      <c r="GU898" s="25"/>
      <c r="GV898" s="25"/>
      <c r="GW898" s="25"/>
      <c r="GX898" s="25"/>
      <c r="GY898" s="25"/>
      <c r="GZ898" s="25"/>
      <c r="HA898" s="25"/>
      <c r="HB898" s="25"/>
      <c r="HC898" s="25"/>
      <c r="HD898" s="25"/>
      <c r="HE898" s="25"/>
      <c r="HF898" s="25"/>
      <c r="HG898" s="25"/>
      <c r="HH898" s="25"/>
      <c r="HI898" s="25"/>
      <c r="HJ898" s="25"/>
      <c r="HK898" s="25"/>
      <c r="HL898" s="25"/>
    </row>
    <row r="899" spans="1:220" ht="15.75" customHeight="1" x14ac:dyDescent="0.2">
      <c r="A899" s="25"/>
      <c r="B899" s="29"/>
      <c r="C899" s="26"/>
      <c r="D899" s="29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  <c r="CI899" s="25"/>
      <c r="CJ899" s="25"/>
      <c r="CK899" s="25"/>
      <c r="CL899" s="25"/>
      <c r="CM899" s="25"/>
      <c r="CN899" s="25"/>
      <c r="CO899" s="25"/>
      <c r="CP899" s="25"/>
      <c r="CQ899" s="25"/>
      <c r="CR899" s="25"/>
      <c r="CS899" s="25"/>
      <c r="CT899" s="25"/>
      <c r="CU899" s="25"/>
      <c r="CV899" s="25"/>
      <c r="CW899" s="25"/>
      <c r="CX899" s="25"/>
      <c r="CY899" s="25"/>
      <c r="CZ899" s="25"/>
      <c r="DA899" s="25"/>
      <c r="DB899" s="25"/>
      <c r="DC899" s="25"/>
      <c r="DD899" s="25"/>
      <c r="DE899" s="25"/>
      <c r="DF899" s="25"/>
      <c r="DG899" s="25"/>
      <c r="DH899" s="25"/>
      <c r="DI899" s="25"/>
      <c r="DJ899" s="25"/>
      <c r="DK899" s="25"/>
      <c r="DL899" s="25"/>
      <c r="DM899" s="25"/>
      <c r="DN899" s="25"/>
      <c r="DO899" s="25"/>
      <c r="DP899" s="25"/>
      <c r="DQ899" s="25"/>
      <c r="DR899" s="25"/>
      <c r="DS899" s="25"/>
      <c r="DT899" s="25"/>
      <c r="DU899" s="25"/>
      <c r="DV899" s="25"/>
      <c r="DW899" s="25"/>
      <c r="DX899" s="25"/>
      <c r="DY899" s="25"/>
      <c r="DZ899" s="25"/>
      <c r="EA899" s="25"/>
      <c r="EB899" s="25"/>
      <c r="EC899" s="25"/>
      <c r="ED899" s="25"/>
      <c r="EE899" s="25"/>
      <c r="EF899" s="25"/>
      <c r="EG899" s="25"/>
      <c r="EH899" s="25"/>
      <c r="EI899" s="25"/>
      <c r="EJ899" s="25"/>
      <c r="EK899" s="25"/>
      <c r="EL899" s="25"/>
      <c r="EM899" s="25"/>
      <c r="EN899" s="25"/>
      <c r="EO899" s="25"/>
      <c r="EP899" s="25"/>
      <c r="EQ899" s="25"/>
      <c r="ER899" s="25"/>
      <c r="ES899" s="25"/>
      <c r="ET899" s="25"/>
      <c r="EU899" s="25"/>
      <c r="EV899" s="25"/>
      <c r="EW899" s="25"/>
      <c r="EX899" s="25"/>
      <c r="EY899" s="25"/>
      <c r="EZ899" s="25"/>
      <c r="FA899" s="25"/>
      <c r="FB899" s="25"/>
      <c r="FC899" s="25"/>
      <c r="FD899" s="25"/>
      <c r="FE899" s="25"/>
      <c r="FF899" s="25"/>
      <c r="FG899" s="25"/>
      <c r="FH899" s="25"/>
      <c r="FI899" s="25"/>
      <c r="FJ899" s="25"/>
      <c r="FK899" s="25"/>
      <c r="FL899" s="25"/>
      <c r="FM899" s="25"/>
      <c r="FN899" s="25"/>
      <c r="FO899" s="25"/>
      <c r="FP899" s="25"/>
      <c r="FQ899" s="25"/>
      <c r="FR899" s="25"/>
      <c r="FS899" s="25"/>
      <c r="FT899" s="25"/>
      <c r="FU899" s="25"/>
      <c r="FV899" s="28"/>
      <c r="FW899" s="27"/>
      <c r="FX899" s="27"/>
      <c r="FY899" s="25"/>
      <c r="FZ899" s="25"/>
      <c r="GA899" s="25"/>
      <c r="GB899" s="25"/>
      <c r="GC899" s="25"/>
      <c r="GD899" s="25"/>
      <c r="GE899" s="25"/>
      <c r="GF899" s="25"/>
      <c r="GG899" s="25"/>
      <c r="GH899" s="25"/>
      <c r="GI899" s="25"/>
      <c r="GJ899" s="25"/>
      <c r="GK899" s="25"/>
      <c r="GL899" s="25"/>
      <c r="GM899" s="25"/>
      <c r="GN899" s="25"/>
      <c r="GO899" s="25"/>
      <c r="GP899" s="25"/>
      <c r="GQ899" s="25"/>
      <c r="GR899" s="25"/>
      <c r="GS899" s="25"/>
      <c r="GT899" s="25"/>
      <c r="GU899" s="25"/>
      <c r="GV899" s="25"/>
      <c r="GW899" s="25"/>
      <c r="GX899" s="25"/>
      <c r="GY899" s="25"/>
      <c r="GZ899" s="25"/>
      <c r="HA899" s="25"/>
      <c r="HB899" s="25"/>
      <c r="HC899" s="25"/>
      <c r="HD899" s="25"/>
      <c r="HE899" s="25"/>
      <c r="HF899" s="25"/>
      <c r="HG899" s="25"/>
      <c r="HH899" s="25"/>
      <c r="HI899" s="25"/>
      <c r="HJ899" s="25"/>
      <c r="HK899" s="25"/>
      <c r="HL899" s="25"/>
    </row>
    <row r="900" spans="1:220" ht="15.75" customHeight="1" x14ac:dyDescent="0.2">
      <c r="A900" s="25"/>
      <c r="B900" s="29"/>
      <c r="C900" s="26"/>
      <c r="D900" s="29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  <c r="CI900" s="25"/>
      <c r="CJ900" s="25"/>
      <c r="CK900" s="25"/>
      <c r="CL900" s="25"/>
      <c r="CM900" s="25"/>
      <c r="CN900" s="25"/>
      <c r="CO900" s="25"/>
      <c r="CP900" s="25"/>
      <c r="CQ900" s="25"/>
      <c r="CR900" s="25"/>
      <c r="CS900" s="25"/>
      <c r="CT900" s="25"/>
      <c r="CU900" s="25"/>
      <c r="CV900" s="25"/>
      <c r="CW900" s="25"/>
      <c r="CX900" s="25"/>
      <c r="CY900" s="25"/>
      <c r="CZ900" s="25"/>
      <c r="DA900" s="25"/>
      <c r="DB900" s="25"/>
      <c r="DC900" s="25"/>
      <c r="DD900" s="25"/>
      <c r="DE900" s="25"/>
      <c r="DF900" s="25"/>
      <c r="DG900" s="25"/>
      <c r="DH900" s="25"/>
      <c r="DI900" s="25"/>
      <c r="DJ900" s="25"/>
      <c r="DK900" s="25"/>
      <c r="DL900" s="25"/>
      <c r="DM900" s="25"/>
      <c r="DN900" s="25"/>
      <c r="DO900" s="25"/>
      <c r="DP900" s="25"/>
      <c r="DQ900" s="25"/>
      <c r="DR900" s="25"/>
      <c r="DS900" s="25"/>
      <c r="DT900" s="25"/>
      <c r="DU900" s="25"/>
      <c r="DV900" s="25"/>
      <c r="DW900" s="25"/>
      <c r="DX900" s="25"/>
      <c r="DY900" s="25"/>
      <c r="DZ900" s="25"/>
      <c r="EA900" s="25"/>
      <c r="EB900" s="25"/>
      <c r="EC900" s="25"/>
      <c r="ED900" s="25"/>
      <c r="EE900" s="25"/>
      <c r="EF900" s="25"/>
      <c r="EG900" s="25"/>
      <c r="EH900" s="25"/>
      <c r="EI900" s="25"/>
      <c r="EJ900" s="25"/>
      <c r="EK900" s="25"/>
      <c r="EL900" s="25"/>
      <c r="EM900" s="25"/>
      <c r="EN900" s="25"/>
      <c r="EO900" s="25"/>
      <c r="EP900" s="25"/>
      <c r="EQ900" s="25"/>
      <c r="ER900" s="25"/>
      <c r="ES900" s="25"/>
      <c r="ET900" s="25"/>
      <c r="EU900" s="25"/>
      <c r="EV900" s="25"/>
      <c r="EW900" s="25"/>
      <c r="EX900" s="25"/>
      <c r="EY900" s="25"/>
      <c r="EZ900" s="25"/>
      <c r="FA900" s="25"/>
      <c r="FB900" s="25"/>
      <c r="FC900" s="25"/>
      <c r="FD900" s="25"/>
      <c r="FE900" s="25"/>
      <c r="FF900" s="25"/>
      <c r="FG900" s="25"/>
      <c r="FH900" s="25"/>
      <c r="FI900" s="25"/>
      <c r="FJ900" s="25"/>
      <c r="FK900" s="25"/>
      <c r="FL900" s="25"/>
      <c r="FM900" s="25"/>
      <c r="FN900" s="25"/>
      <c r="FO900" s="25"/>
      <c r="FP900" s="25"/>
      <c r="FQ900" s="25"/>
      <c r="FR900" s="25"/>
      <c r="FS900" s="25"/>
      <c r="FT900" s="25"/>
      <c r="FU900" s="25"/>
      <c r="FV900" s="28"/>
      <c r="FW900" s="27"/>
      <c r="FX900" s="27"/>
      <c r="FY900" s="25"/>
      <c r="FZ900" s="25"/>
      <c r="GA900" s="25"/>
      <c r="GB900" s="25"/>
      <c r="GC900" s="25"/>
      <c r="GD900" s="25"/>
      <c r="GE900" s="25"/>
      <c r="GF900" s="25"/>
      <c r="GG900" s="25"/>
      <c r="GH900" s="25"/>
      <c r="GI900" s="25"/>
      <c r="GJ900" s="25"/>
      <c r="GK900" s="25"/>
      <c r="GL900" s="25"/>
      <c r="GM900" s="25"/>
      <c r="GN900" s="25"/>
      <c r="GO900" s="25"/>
      <c r="GP900" s="25"/>
      <c r="GQ900" s="25"/>
      <c r="GR900" s="25"/>
      <c r="GS900" s="25"/>
      <c r="GT900" s="25"/>
      <c r="GU900" s="25"/>
      <c r="GV900" s="25"/>
      <c r="GW900" s="25"/>
      <c r="GX900" s="25"/>
      <c r="GY900" s="25"/>
      <c r="GZ900" s="25"/>
      <c r="HA900" s="25"/>
      <c r="HB900" s="25"/>
      <c r="HC900" s="25"/>
      <c r="HD900" s="25"/>
      <c r="HE900" s="25"/>
      <c r="HF900" s="25"/>
      <c r="HG900" s="25"/>
      <c r="HH900" s="25"/>
      <c r="HI900" s="25"/>
      <c r="HJ900" s="25"/>
      <c r="HK900" s="25"/>
      <c r="HL900" s="25"/>
    </row>
    <row r="901" spans="1:220" ht="15.75" customHeight="1" x14ac:dyDescent="0.2">
      <c r="A901" s="25"/>
      <c r="B901" s="29"/>
      <c r="C901" s="26"/>
      <c r="D901" s="29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  <c r="CS901" s="25"/>
      <c r="CT901" s="25"/>
      <c r="CU901" s="25"/>
      <c r="CV901" s="25"/>
      <c r="CW901" s="25"/>
      <c r="CX901" s="25"/>
      <c r="CY901" s="25"/>
      <c r="CZ901" s="25"/>
      <c r="DA901" s="25"/>
      <c r="DB901" s="25"/>
      <c r="DC901" s="25"/>
      <c r="DD901" s="25"/>
      <c r="DE901" s="25"/>
      <c r="DF901" s="25"/>
      <c r="DG901" s="25"/>
      <c r="DH901" s="25"/>
      <c r="DI901" s="25"/>
      <c r="DJ901" s="25"/>
      <c r="DK901" s="25"/>
      <c r="DL901" s="25"/>
      <c r="DM901" s="25"/>
      <c r="DN901" s="25"/>
      <c r="DO901" s="25"/>
      <c r="DP901" s="25"/>
      <c r="DQ901" s="25"/>
      <c r="DR901" s="25"/>
      <c r="DS901" s="25"/>
      <c r="DT901" s="25"/>
      <c r="DU901" s="25"/>
      <c r="DV901" s="25"/>
      <c r="DW901" s="25"/>
      <c r="DX901" s="25"/>
      <c r="DY901" s="25"/>
      <c r="DZ901" s="25"/>
      <c r="EA901" s="25"/>
      <c r="EB901" s="25"/>
      <c r="EC901" s="25"/>
      <c r="ED901" s="25"/>
      <c r="EE901" s="25"/>
      <c r="EF901" s="25"/>
      <c r="EG901" s="25"/>
      <c r="EH901" s="25"/>
      <c r="EI901" s="25"/>
      <c r="EJ901" s="25"/>
      <c r="EK901" s="25"/>
      <c r="EL901" s="25"/>
      <c r="EM901" s="25"/>
      <c r="EN901" s="25"/>
      <c r="EO901" s="25"/>
      <c r="EP901" s="25"/>
      <c r="EQ901" s="25"/>
      <c r="ER901" s="25"/>
      <c r="ES901" s="25"/>
      <c r="ET901" s="25"/>
      <c r="EU901" s="25"/>
      <c r="EV901" s="25"/>
      <c r="EW901" s="25"/>
      <c r="EX901" s="25"/>
      <c r="EY901" s="25"/>
      <c r="EZ901" s="25"/>
      <c r="FA901" s="25"/>
      <c r="FB901" s="25"/>
      <c r="FC901" s="25"/>
      <c r="FD901" s="25"/>
      <c r="FE901" s="25"/>
      <c r="FF901" s="25"/>
      <c r="FG901" s="25"/>
      <c r="FH901" s="25"/>
      <c r="FI901" s="25"/>
      <c r="FJ901" s="25"/>
      <c r="FK901" s="25"/>
      <c r="FL901" s="25"/>
      <c r="FM901" s="25"/>
      <c r="FN901" s="25"/>
      <c r="FO901" s="25"/>
      <c r="FP901" s="25"/>
      <c r="FQ901" s="25"/>
      <c r="FR901" s="25"/>
      <c r="FS901" s="25"/>
      <c r="FT901" s="25"/>
      <c r="FU901" s="25"/>
      <c r="FV901" s="28"/>
      <c r="FW901" s="27"/>
      <c r="FX901" s="27"/>
      <c r="FY901" s="25"/>
      <c r="FZ901" s="25"/>
      <c r="GA901" s="25"/>
      <c r="GB901" s="25"/>
      <c r="GC901" s="25"/>
      <c r="GD901" s="25"/>
      <c r="GE901" s="25"/>
      <c r="GF901" s="25"/>
      <c r="GG901" s="25"/>
      <c r="GH901" s="25"/>
      <c r="GI901" s="25"/>
      <c r="GJ901" s="25"/>
      <c r="GK901" s="25"/>
      <c r="GL901" s="25"/>
      <c r="GM901" s="25"/>
      <c r="GN901" s="25"/>
      <c r="GO901" s="25"/>
      <c r="GP901" s="25"/>
      <c r="GQ901" s="25"/>
      <c r="GR901" s="25"/>
      <c r="GS901" s="25"/>
      <c r="GT901" s="25"/>
      <c r="GU901" s="25"/>
      <c r="GV901" s="25"/>
      <c r="GW901" s="25"/>
      <c r="GX901" s="25"/>
      <c r="GY901" s="25"/>
      <c r="GZ901" s="25"/>
      <c r="HA901" s="25"/>
      <c r="HB901" s="25"/>
      <c r="HC901" s="25"/>
      <c r="HD901" s="25"/>
      <c r="HE901" s="25"/>
      <c r="HF901" s="25"/>
      <c r="HG901" s="25"/>
      <c r="HH901" s="25"/>
      <c r="HI901" s="25"/>
      <c r="HJ901" s="25"/>
      <c r="HK901" s="25"/>
      <c r="HL901" s="25"/>
    </row>
    <row r="902" spans="1:220" ht="15.75" customHeight="1" x14ac:dyDescent="0.2">
      <c r="A902" s="25"/>
      <c r="B902" s="29"/>
      <c r="C902" s="26"/>
      <c r="D902" s="29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  <c r="CI902" s="25"/>
      <c r="CJ902" s="25"/>
      <c r="CK902" s="25"/>
      <c r="CL902" s="25"/>
      <c r="CM902" s="25"/>
      <c r="CN902" s="25"/>
      <c r="CO902" s="25"/>
      <c r="CP902" s="25"/>
      <c r="CQ902" s="25"/>
      <c r="CR902" s="25"/>
      <c r="CS902" s="25"/>
      <c r="CT902" s="25"/>
      <c r="CU902" s="25"/>
      <c r="CV902" s="25"/>
      <c r="CW902" s="25"/>
      <c r="CX902" s="25"/>
      <c r="CY902" s="25"/>
      <c r="CZ902" s="25"/>
      <c r="DA902" s="25"/>
      <c r="DB902" s="25"/>
      <c r="DC902" s="25"/>
      <c r="DD902" s="25"/>
      <c r="DE902" s="25"/>
      <c r="DF902" s="25"/>
      <c r="DG902" s="25"/>
      <c r="DH902" s="25"/>
      <c r="DI902" s="25"/>
      <c r="DJ902" s="25"/>
      <c r="DK902" s="25"/>
      <c r="DL902" s="25"/>
      <c r="DM902" s="25"/>
      <c r="DN902" s="25"/>
      <c r="DO902" s="25"/>
      <c r="DP902" s="25"/>
      <c r="DQ902" s="25"/>
      <c r="DR902" s="25"/>
      <c r="DS902" s="25"/>
      <c r="DT902" s="25"/>
      <c r="DU902" s="25"/>
      <c r="DV902" s="25"/>
      <c r="DW902" s="25"/>
      <c r="DX902" s="25"/>
      <c r="DY902" s="25"/>
      <c r="DZ902" s="25"/>
      <c r="EA902" s="25"/>
      <c r="EB902" s="25"/>
      <c r="EC902" s="25"/>
      <c r="ED902" s="25"/>
      <c r="EE902" s="25"/>
      <c r="EF902" s="25"/>
      <c r="EG902" s="25"/>
      <c r="EH902" s="25"/>
      <c r="EI902" s="25"/>
      <c r="EJ902" s="25"/>
      <c r="EK902" s="25"/>
      <c r="EL902" s="25"/>
      <c r="EM902" s="25"/>
      <c r="EN902" s="25"/>
      <c r="EO902" s="25"/>
      <c r="EP902" s="25"/>
      <c r="EQ902" s="25"/>
      <c r="ER902" s="25"/>
      <c r="ES902" s="25"/>
      <c r="ET902" s="25"/>
      <c r="EU902" s="25"/>
      <c r="EV902" s="25"/>
      <c r="EW902" s="25"/>
      <c r="EX902" s="25"/>
      <c r="EY902" s="25"/>
      <c r="EZ902" s="25"/>
      <c r="FA902" s="25"/>
      <c r="FB902" s="25"/>
      <c r="FC902" s="25"/>
      <c r="FD902" s="25"/>
      <c r="FE902" s="25"/>
      <c r="FF902" s="25"/>
      <c r="FG902" s="25"/>
      <c r="FH902" s="25"/>
      <c r="FI902" s="25"/>
      <c r="FJ902" s="25"/>
      <c r="FK902" s="25"/>
      <c r="FL902" s="25"/>
      <c r="FM902" s="25"/>
      <c r="FN902" s="25"/>
      <c r="FO902" s="25"/>
      <c r="FP902" s="25"/>
      <c r="FQ902" s="25"/>
      <c r="FR902" s="25"/>
      <c r="FS902" s="25"/>
      <c r="FT902" s="25"/>
      <c r="FU902" s="25"/>
      <c r="FV902" s="28"/>
      <c r="FW902" s="27"/>
      <c r="FX902" s="27"/>
      <c r="FY902" s="25"/>
      <c r="FZ902" s="25"/>
      <c r="GA902" s="25"/>
      <c r="GB902" s="25"/>
      <c r="GC902" s="25"/>
      <c r="GD902" s="25"/>
      <c r="GE902" s="25"/>
      <c r="GF902" s="25"/>
      <c r="GG902" s="25"/>
      <c r="GH902" s="25"/>
      <c r="GI902" s="25"/>
      <c r="GJ902" s="25"/>
      <c r="GK902" s="25"/>
      <c r="GL902" s="25"/>
      <c r="GM902" s="25"/>
      <c r="GN902" s="25"/>
      <c r="GO902" s="25"/>
      <c r="GP902" s="25"/>
      <c r="GQ902" s="25"/>
      <c r="GR902" s="25"/>
      <c r="GS902" s="25"/>
      <c r="GT902" s="25"/>
      <c r="GU902" s="25"/>
      <c r="GV902" s="25"/>
      <c r="GW902" s="25"/>
      <c r="GX902" s="25"/>
      <c r="GY902" s="25"/>
      <c r="GZ902" s="25"/>
      <c r="HA902" s="25"/>
      <c r="HB902" s="25"/>
      <c r="HC902" s="25"/>
      <c r="HD902" s="25"/>
      <c r="HE902" s="25"/>
      <c r="HF902" s="25"/>
      <c r="HG902" s="25"/>
      <c r="HH902" s="25"/>
      <c r="HI902" s="25"/>
      <c r="HJ902" s="25"/>
      <c r="HK902" s="25"/>
      <c r="HL902" s="25"/>
    </row>
    <row r="903" spans="1:220" ht="15.75" customHeight="1" x14ac:dyDescent="0.2">
      <c r="A903" s="25"/>
      <c r="B903" s="29"/>
      <c r="C903" s="26"/>
      <c r="D903" s="29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  <c r="CI903" s="25"/>
      <c r="CJ903" s="25"/>
      <c r="CK903" s="25"/>
      <c r="CL903" s="25"/>
      <c r="CM903" s="25"/>
      <c r="CN903" s="25"/>
      <c r="CO903" s="25"/>
      <c r="CP903" s="25"/>
      <c r="CQ903" s="25"/>
      <c r="CR903" s="25"/>
      <c r="CS903" s="25"/>
      <c r="CT903" s="25"/>
      <c r="CU903" s="25"/>
      <c r="CV903" s="25"/>
      <c r="CW903" s="25"/>
      <c r="CX903" s="25"/>
      <c r="CY903" s="25"/>
      <c r="CZ903" s="25"/>
      <c r="DA903" s="25"/>
      <c r="DB903" s="25"/>
      <c r="DC903" s="25"/>
      <c r="DD903" s="25"/>
      <c r="DE903" s="25"/>
      <c r="DF903" s="25"/>
      <c r="DG903" s="25"/>
      <c r="DH903" s="25"/>
      <c r="DI903" s="25"/>
      <c r="DJ903" s="25"/>
      <c r="DK903" s="25"/>
      <c r="DL903" s="25"/>
      <c r="DM903" s="25"/>
      <c r="DN903" s="25"/>
      <c r="DO903" s="25"/>
      <c r="DP903" s="25"/>
      <c r="DQ903" s="25"/>
      <c r="DR903" s="25"/>
      <c r="DS903" s="25"/>
      <c r="DT903" s="25"/>
      <c r="DU903" s="25"/>
      <c r="DV903" s="25"/>
      <c r="DW903" s="25"/>
      <c r="DX903" s="25"/>
      <c r="DY903" s="25"/>
      <c r="DZ903" s="25"/>
      <c r="EA903" s="25"/>
      <c r="EB903" s="25"/>
      <c r="EC903" s="25"/>
      <c r="ED903" s="25"/>
      <c r="EE903" s="25"/>
      <c r="EF903" s="25"/>
      <c r="EG903" s="25"/>
      <c r="EH903" s="25"/>
      <c r="EI903" s="25"/>
      <c r="EJ903" s="25"/>
      <c r="EK903" s="25"/>
      <c r="EL903" s="25"/>
      <c r="EM903" s="25"/>
      <c r="EN903" s="25"/>
      <c r="EO903" s="25"/>
      <c r="EP903" s="25"/>
      <c r="EQ903" s="25"/>
      <c r="ER903" s="25"/>
      <c r="ES903" s="25"/>
      <c r="ET903" s="25"/>
      <c r="EU903" s="25"/>
      <c r="EV903" s="25"/>
      <c r="EW903" s="25"/>
      <c r="EX903" s="25"/>
      <c r="EY903" s="25"/>
      <c r="EZ903" s="25"/>
      <c r="FA903" s="25"/>
      <c r="FB903" s="25"/>
      <c r="FC903" s="25"/>
      <c r="FD903" s="25"/>
      <c r="FE903" s="25"/>
      <c r="FF903" s="25"/>
      <c r="FG903" s="25"/>
      <c r="FH903" s="25"/>
      <c r="FI903" s="25"/>
      <c r="FJ903" s="25"/>
      <c r="FK903" s="25"/>
      <c r="FL903" s="25"/>
      <c r="FM903" s="25"/>
      <c r="FN903" s="25"/>
      <c r="FO903" s="25"/>
      <c r="FP903" s="25"/>
      <c r="FQ903" s="25"/>
      <c r="FR903" s="25"/>
      <c r="FS903" s="25"/>
      <c r="FT903" s="25"/>
      <c r="FU903" s="25"/>
      <c r="FV903" s="28"/>
      <c r="FW903" s="27"/>
      <c r="FX903" s="27"/>
      <c r="FY903" s="25"/>
      <c r="FZ903" s="25"/>
      <c r="GA903" s="25"/>
      <c r="GB903" s="25"/>
      <c r="GC903" s="25"/>
      <c r="GD903" s="25"/>
      <c r="GE903" s="25"/>
      <c r="GF903" s="25"/>
      <c r="GG903" s="25"/>
      <c r="GH903" s="25"/>
      <c r="GI903" s="25"/>
      <c r="GJ903" s="25"/>
      <c r="GK903" s="25"/>
      <c r="GL903" s="25"/>
      <c r="GM903" s="25"/>
      <c r="GN903" s="25"/>
      <c r="GO903" s="25"/>
      <c r="GP903" s="25"/>
      <c r="GQ903" s="25"/>
      <c r="GR903" s="25"/>
      <c r="GS903" s="25"/>
      <c r="GT903" s="25"/>
      <c r="GU903" s="25"/>
      <c r="GV903" s="25"/>
      <c r="GW903" s="25"/>
      <c r="GX903" s="25"/>
      <c r="GY903" s="25"/>
      <c r="GZ903" s="25"/>
      <c r="HA903" s="25"/>
      <c r="HB903" s="25"/>
      <c r="HC903" s="25"/>
      <c r="HD903" s="25"/>
      <c r="HE903" s="25"/>
      <c r="HF903" s="25"/>
      <c r="HG903" s="25"/>
      <c r="HH903" s="25"/>
      <c r="HI903" s="25"/>
      <c r="HJ903" s="25"/>
      <c r="HK903" s="25"/>
      <c r="HL903" s="25"/>
    </row>
    <row r="904" spans="1:220" ht="15.75" customHeight="1" x14ac:dyDescent="0.2">
      <c r="A904" s="25"/>
      <c r="B904" s="29"/>
      <c r="C904" s="26"/>
      <c r="D904" s="29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  <c r="CI904" s="25"/>
      <c r="CJ904" s="25"/>
      <c r="CK904" s="25"/>
      <c r="CL904" s="25"/>
      <c r="CM904" s="25"/>
      <c r="CN904" s="25"/>
      <c r="CO904" s="25"/>
      <c r="CP904" s="25"/>
      <c r="CQ904" s="25"/>
      <c r="CR904" s="25"/>
      <c r="CS904" s="25"/>
      <c r="CT904" s="25"/>
      <c r="CU904" s="25"/>
      <c r="CV904" s="25"/>
      <c r="CW904" s="25"/>
      <c r="CX904" s="25"/>
      <c r="CY904" s="25"/>
      <c r="CZ904" s="25"/>
      <c r="DA904" s="25"/>
      <c r="DB904" s="25"/>
      <c r="DC904" s="25"/>
      <c r="DD904" s="25"/>
      <c r="DE904" s="25"/>
      <c r="DF904" s="25"/>
      <c r="DG904" s="25"/>
      <c r="DH904" s="25"/>
      <c r="DI904" s="25"/>
      <c r="DJ904" s="25"/>
      <c r="DK904" s="25"/>
      <c r="DL904" s="25"/>
      <c r="DM904" s="25"/>
      <c r="DN904" s="25"/>
      <c r="DO904" s="25"/>
      <c r="DP904" s="25"/>
      <c r="DQ904" s="25"/>
      <c r="DR904" s="25"/>
      <c r="DS904" s="25"/>
      <c r="DT904" s="25"/>
      <c r="DU904" s="25"/>
      <c r="DV904" s="25"/>
      <c r="DW904" s="25"/>
      <c r="DX904" s="25"/>
      <c r="DY904" s="25"/>
      <c r="DZ904" s="25"/>
      <c r="EA904" s="25"/>
      <c r="EB904" s="25"/>
      <c r="EC904" s="25"/>
      <c r="ED904" s="25"/>
      <c r="EE904" s="25"/>
      <c r="EF904" s="25"/>
      <c r="EG904" s="25"/>
      <c r="EH904" s="25"/>
      <c r="EI904" s="25"/>
      <c r="EJ904" s="25"/>
      <c r="EK904" s="25"/>
      <c r="EL904" s="25"/>
      <c r="EM904" s="25"/>
      <c r="EN904" s="25"/>
      <c r="EO904" s="25"/>
      <c r="EP904" s="25"/>
      <c r="EQ904" s="25"/>
      <c r="ER904" s="25"/>
      <c r="ES904" s="25"/>
      <c r="ET904" s="25"/>
      <c r="EU904" s="25"/>
      <c r="EV904" s="25"/>
      <c r="EW904" s="25"/>
      <c r="EX904" s="25"/>
      <c r="EY904" s="25"/>
      <c r="EZ904" s="25"/>
      <c r="FA904" s="25"/>
      <c r="FB904" s="25"/>
      <c r="FC904" s="25"/>
      <c r="FD904" s="25"/>
      <c r="FE904" s="25"/>
      <c r="FF904" s="25"/>
      <c r="FG904" s="25"/>
      <c r="FH904" s="25"/>
      <c r="FI904" s="25"/>
      <c r="FJ904" s="25"/>
      <c r="FK904" s="25"/>
      <c r="FL904" s="25"/>
      <c r="FM904" s="25"/>
      <c r="FN904" s="25"/>
      <c r="FO904" s="25"/>
      <c r="FP904" s="25"/>
      <c r="FQ904" s="25"/>
      <c r="FR904" s="25"/>
      <c r="FS904" s="25"/>
      <c r="FT904" s="25"/>
      <c r="FU904" s="25"/>
      <c r="FV904" s="28"/>
      <c r="FW904" s="27"/>
      <c r="FX904" s="27"/>
      <c r="FY904" s="25"/>
      <c r="FZ904" s="25"/>
      <c r="GA904" s="25"/>
      <c r="GB904" s="25"/>
      <c r="GC904" s="25"/>
      <c r="GD904" s="25"/>
      <c r="GE904" s="25"/>
      <c r="GF904" s="25"/>
      <c r="GG904" s="25"/>
      <c r="GH904" s="25"/>
      <c r="GI904" s="25"/>
      <c r="GJ904" s="25"/>
      <c r="GK904" s="25"/>
      <c r="GL904" s="25"/>
      <c r="GM904" s="25"/>
      <c r="GN904" s="25"/>
      <c r="GO904" s="25"/>
      <c r="GP904" s="25"/>
      <c r="GQ904" s="25"/>
      <c r="GR904" s="25"/>
      <c r="GS904" s="25"/>
      <c r="GT904" s="25"/>
      <c r="GU904" s="25"/>
      <c r="GV904" s="25"/>
      <c r="GW904" s="25"/>
      <c r="GX904" s="25"/>
      <c r="GY904" s="25"/>
      <c r="GZ904" s="25"/>
      <c r="HA904" s="25"/>
      <c r="HB904" s="25"/>
      <c r="HC904" s="25"/>
      <c r="HD904" s="25"/>
      <c r="HE904" s="25"/>
      <c r="HF904" s="25"/>
      <c r="HG904" s="25"/>
      <c r="HH904" s="25"/>
      <c r="HI904" s="25"/>
      <c r="HJ904" s="25"/>
      <c r="HK904" s="25"/>
      <c r="HL904" s="25"/>
    </row>
    <row r="905" spans="1:220" ht="15.75" customHeight="1" x14ac:dyDescent="0.2">
      <c r="A905" s="25"/>
      <c r="B905" s="29"/>
      <c r="C905" s="26"/>
      <c r="D905" s="29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  <c r="CL905" s="25"/>
      <c r="CM905" s="25"/>
      <c r="CN905" s="25"/>
      <c r="CO905" s="25"/>
      <c r="CP905" s="25"/>
      <c r="CQ905" s="25"/>
      <c r="CR905" s="25"/>
      <c r="CS905" s="25"/>
      <c r="CT905" s="25"/>
      <c r="CU905" s="25"/>
      <c r="CV905" s="25"/>
      <c r="CW905" s="25"/>
      <c r="CX905" s="25"/>
      <c r="CY905" s="25"/>
      <c r="CZ905" s="25"/>
      <c r="DA905" s="25"/>
      <c r="DB905" s="25"/>
      <c r="DC905" s="25"/>
      <c r="DD905" s="25"/>
      <c r="DE905" s="25"/>
      <c r="DF905" s="25"/>
      <c r="DG905" s="25"/>
      <c r="DH905" s="25"/>
      <c r="DI905" s="25"/>
      <c r="DJ905" s="25"/>
      <c r="DK905" s="25"/>
      <c r="DL905" s="25"/>
      <c r="DM905" s="25"/>
      <c r="DN905" s="25"/>
      <c r="DO905" s="25"/>
      <c r="DP905" s="25"/>
      <c r="DQ905" s="25"/>
      <c r="DR905" s="25"/>
      <c r="DS905" s="25"/>
      <c r="DT905" s="25"/>
      <c r="DU905" s="25"/>
      <c r="DV905" s="25"/>
      <c r="DW905" s="25"/>
      <c r="DX905" s="25"/>
      <c r="DY905" s="25"/>
      <c r="DZ905" s="25"/>
      <c r="EA905" s="25"/>
      <c r="EB905" s="25"/>
      <c r="EC905" s="25"/>
      <c r="ED905" s="25"/>
      <c r="EE905" s="25"/>
      <c r="EF905" s="25"/>
      <c r="EG905" s="25"/>
      <c r="EH905" s="25"/>
      <c r="EI905" s="25"/>
      <c r="EJ905" s="25"/>
      <c r="EK905" s="25"/>
      <c r="EL905" s="25"/>
      <c r="EM905" s="25"/>
      <c r="EN905" s="25"/>
      <c r="EO905" s="25"/>
      <c r="EP905" s="25"/>
      <c r="EQ905" s="25"/>
      <c r="ER905" s="25"/>
      <c r="ES905" s="25"/>
      <c r="ET905" s="25"/>
      <c r="EU905" s="25"/>
      <c r="EV905" s="25"/>
      <c r="EW905" s="25"/>
      <c r="EX905" s="25"/>
      <c r="EY905" s="25"/>
      <c r="EZ905" s="25"/>
      <c r="FA905" s="25"/>
      <c r="FB905" s="25"/>
      <c r="FC905" s="25"/>
      <c r="FD905" s="25"/>
      <c r="FE905" s="25"/>
      <c r="FF905" s="25"/>
      <c r="FG905" s="25"/>
      <c r="FH905" s="25"/>
      <c r="FI905" s="25"/>
      <c r="FJ905" s="25"/>
      <c r="FK905" s="25"/>
      <c r="FL905" s="25"/>
      <c r="FM905" s="25"/>
      <c r="FN905" s="25"/>
      <c r="FO905" s="25"/>
      <c r="FP905" s="25"/>
      <c r="FQ905" s="25"/>
      <c r="FR905" s="25"/>
      <c r="FS905" s="25"/>
      <c r="FT905" s="25"/>
      <c r="FU905" s="25"/>
      <c r="FV905" s="28"/>
      <c r="FW905" s="27"/>
      <c r="FX905" s="27"/>
      <c r="FY905" s="25"/>
      <c r="FZ905" s="25"/>
      <c r="GA905" s="25"/>
      <c r="GB905" s="25"/>
      <c r="GC905" s="25"/>
      <c r="GD905" s="25"/>
      <c r="GE905" s="25"/>
      <c r="GF905" s="25"/>
      <c r="GG905" s="25"/>
      <c r="GH905" s="25"/>
      <c r="GI905" s="25"/>
      <c r="GJ905" s="25"/>
      <c r="GK905" s="25"/>
      <c r="GL905" s="25"/>
      <c r="GM905" s="25"/>
      <c r="GN905" s="25"/>
      <c r="GO905" s="25"/>
      <c r="GP905" s="25"/>
      <c r="GQ905" s="25"/>
      <c r="GR905" s="25"/>
      <c r="GS905" s="25"/>
      <c r="GT905" s="25"/>
      <c r="GU905" s="25"/>
      <c r="GV905" s="25"/>
      <c r="GW905" s="25"/>
      <c r="GX905" s="25"/>
      <c r="GY905" s="25"/>
      <c r="GZ905" s="25"/>
      <c r="HA905" s="25"/>
      <c r="HB905" s="25"/>
      <c r="HC905" s="25"/>
      <c r="HD905" s="25"/>
      <c r="HE905" s="25"/>
      <c r="HF905" s="25"/>
      <c r="HG905" s="25"/>
      <c r="HH905" s="25"/>
      <c r="HI905" s="25"/>
      <c r="HJ905" s="25"/>
      <c r="HK905" s="25"/>
      <c r="HL905" s="25"/>
    </row>
    <row r="906" spans="1:220" ht="15.75" customHeight="1" x14ac:dyDescent="0.2">
      <c r="A906" s="25"/>
      <c r="B906" s="29"/>
      <c r="C906" s="26"/>
      <c r="D906" s="29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  <c r="CI906" s="25"/>
      <c r="CJ906" s="25"/>
      <c r="CK906" s="25"/>
      <c r="CL906" s="25"/>
      <c r="CM906" s="25"/>
      <c r="CN906" s="25"/>
      <c r="CO906" s="25"/>
      <c r="CP906" s="25"/>
      <c r="CQ906" s="25"/>
      <c r="CR906" s="25"/>
      <c r="CS906" s="25"/>
      <c r="CT906" s="25"/>
      <c r="CU906" s="25"/>
      <c r="CV906" s="25"/>
      <c r="CW906" s="25"/>
      <c r="CX906" s="25"/>
      <c r="CY906" s="25"/>
      <c r="CZ906" s="25"/>
      <c r="DA906" s="25"/>
      <c r="DB906" s="25"/>
      <c r="DC906" s="25"/>
      <c r="DD906" s="25"/>
      <c r="DE906" s="25"/>
      <c r="DF906" s="25"/>
      <c r="DG906" s="25"/>
      <c r="DH906" s="25"/>
      <c r="DI906" s="25"/>
      <c r="DJ906" s="25"/>
      <c r="DK906" s="25"/>
      <c r="DL906" s="25"/>
      <c r="DM906" s="25"/>
      <c r="DN906" s="25"/>
      <c r="DO906" s="25"/>
      <c r="DP906" s="25"/>
      <c r="DQ906" s="25"/>
      <c r="DR906" s="25"/>
      <c r="DS906" s="25"/>
      <c r="DT906" s="25"/>
      <c r="DU906" s="25"/>
      <c r="DV906" s="25"/>
      <c r="DW906" s="25"/>
      <c r="DX906" s="25"/>
      <c r="DY906" s="25"/>
      <c r="DZ906" s="25"/>
      <c r="EA906" s="25"/>
      <c r="EB906" s="25"/>
      <c r="EC906" s="25"/>
      <c r="ED906" s="25"/>
      <c r="EE906" s="25"/>
      <c r="EF906" s="25"/>
      <c r="EG906" s="25"/>
      <c r="EH906" s="25"/>
      <c r="EI906" s="25"/>
      <c r="EJ906" s="25"/>
      <c r="EK906" s="25"/>
      <c r="EL906" s="25"/>
      <c r="EM906" s="25"/>
      <c r="EN906" s="25"/>
      <c r="EO906" s="25"/>
      <c r="EP906" s="25"/>
      <c r="EQ906" s="25"/>
      <c r="ER906" s="25"/>
      <c r="ES906" s="25"/>
      <c r="ET906" s="25"/>
      <c r="EU906" s="25"/>
      <c r="EV906" s="25"/>
      <c r="EW906" s="25"/>
      <c r="EX906" s="25"/>
      <c r="EY906" s="25"/>
      <c r="EZ906" s="25"/>
      <c r="FA906" s="25"/>
      <c r="FB906" s="25"/>
      <c r="FC906" s="25"/>
      <c r="FD906" s="25"/>
      <c r="FE906" s="25"/>
      <c r="FF906" s="25"/>
      <c r="FG906" s="25"/>
      <c r="FH906" s="25"/>
      <c r="FI906" s="25"/>
      <c r="FJ906" s="25"/>
      <c r="FK906" s="25"/>
      <c r="FL906" s="25"/>
      <c r="FM906" s="25"/>
      <c r="FN906" s="25"/>
      <c r="FO906" s="25"/>
      <c r="FP906" s="25"/>
      <c r="FQ906" s="25"/>
      <c r="FR906" s="25"/>
      <c r="FS906" s="25"/>
      <c r="FT906" s="25"/>
      <c r="FU906" s="25"/>
      <c r="FV906" s="28"/>
      <c r="FW906" s="27"/>
      <c r="FX906" s="27"/>
      <c r="FY906" s="25"/>
      <c r="FZ906" s="25"/>
      <c r="GA906" s="25"/>
      <c r="GB906" s="25"/>
      <c r="GC906" s="25"/>
      <c r="GD906" s="25"/>
      <c r="GE906" s="25"/>
      <c r="GF906" s="25"/>
      <c r="GG906" s="25"/>
      <c r="GH906" s="25"/>
      <c r="GI906" s="25"/>
      <c r="GJ906" s="25"/>
      <c r="GK906" s="25"/>
      <c r="GL906" s="25"/>
      <c r="GM906" s="25"/>
      <c r="GN906" s="25"/>
      <c r="GO906" s="25"/>
      <c r="GP906" s="25"/>
      <c r="GQ906" s="25"/>
      <c r="GR906" s="25"/>
      <c r="GS906" s="25"/>
      <c r="GT906" s="25"/>
      <c r="GU906" s="25"/>
      <c r="GV906" s="25"/>
      <c r="GW906" s="25"/>
      <c r="GX906" s="25"/>
      <c r="GY906" s="25"/>
      <c r="GZ906" s="25"/>
      <c r="HA906" s="25"/>
      <c r="HB906" s="25"/>
      <c r="HC906" s="25"/>
      <c r="HD906" s="25"/>
      <c r="HE906" s="25"/>
      <c r="HF906" s="25"/>
      <c r="HG906" s="25"/>
      <c r="HH906" s="25"/>
      <c r="HI906" s="25"/>
      <c r="HJ906" s="25"/>
      <c r="HK906" s="25"/>
      <c r="HL906" s="25"/>
    </row>
    <row r="907" spans="1:220" ht="15.75" customHeight="1" x14ac:dyDescent="0.2">
      <c r="A907" s="25"/>
      <c r="B907" s="29"/>
      <c r="C907" s="26"/>
      <c r="D907" s="29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  <c r="CI907" s="25"/>
      <c r="CJ907" s="25"/>
      <c r="CK907" s="25"/>
      <c r="CL907" s="25"/>
      <c r="CM907" s="25"/>
      <c r="CN907" s="25"/>
      <c r="CO907" s="25"/>
      <c r="CP907" s="25"/>
      <c r="CQ907" s="25"/>
      <c r="CR907" s="25"/>
      <c r="CS907" s="25"/>
      <c r="CT907" s="25"/>
      <c r="CU907" s="25"/>
      <c r="CV907" s="25"/>
      <c r="CW907" s="25"/>
      <c r="CX907" s="25"/>
      <c r="CY907" s="25"/>
      <c r="CZ907" s="25"/>
      <c r="DA907" s="25"/>
      <c r="DB907" s="25"/>
      <c r="DC907" s="25"/>
      <c r="DD907" s="25"/>
      <c r="DE907" s="25"/>
      <c r="DF907" s="25"/>
      <c r="DG907" s="25"/>
      <c r="DH907" s="25"/>
      <c r="DI907" s="25"/>
      <c r="DJ907" s="25"/>
      <c r="DK907" s="25"/>
      <c r="DL907" s="25"/>
      <c r="DM907" s="25"/>
      <c r="DN907" s="25"/>
      <c r="DO907" s="25"/>
      <c r="DP907" s="25"/>
      <c r="DQ907" s="25"/>
      <c r="DR907" s="25"/>
      <c r="DS907" s="25"/>
      <c r="DT907" s="25"/>
      <c r="DU907" s="25"/>
      <c r="DV907" s="25"/>
      <c r="DW907" s="25"/>
      <c r="DX907" s="25"/>
      <c r="DY907" s="25"/>
      <c r="DZ907" s="25"/>
      <c r="EA907" s="25"/>
      <c r="EB907" s="25"/>
      <c r="EC907" s="25"/>
      <c r="ED907" s="25"/>
      <c r="EE907" s="25"/>
      <c r="EF907" s="25"/>
      <c r="EG907" s="25"/>
      <c r="EH907" s="25"/>
      <c r="EI907" s="25"/>
      <c r="EJ907" s="25"/>
      <c r="EK907" s="25"/>
      <c r="EL907" s="25"/>
      <c r="EM907" s="25"/>
      <c r="EN907" s="25"/>
      <c r="EO907" s="25"/>
      <c r="EP907" s="25"/>
      <c r="EQ907" s="25"/>
      <c r="ER907" s="25"/>
      <c r="ES907" s="25"/>
      <c r="ET907" s="25"/>
      <c r="EU907" s="25"/>
      <c r="EV907" s="25"/>
      <c r="EW907" s="25"/>
      <c r="EX907" s="25"/>
      <c r="EY907" s="25"/>
      <c r="EZ907" s="25"/>
      <c r="FA907" s="25"/>
      <c r="FB907" s="25"/>
      <c r="FC907" s="25"/>
      <c r="FD907" s="25"/>
      <c r="FE907" s="25"/>
      <c r="FF907" s="25"/>
      <c r="FG907" s="25"/>
      <c r="FH907" s="25"/>
      <c r="FI907" s="25"/>
      <c r="FJ907" s="25"/>
      <c r="FK907" s="25"/>
      <c r="FL907" s="25"/>
      <c r="FM907" s="25"/>
      <c r="FN907" s="25"/>
      <c r="FO907" s="25"/>
      <c r="FP907" s="25"/>
      <c r="FQ907" s="25"/>
      <c r="FR907" s="25"/>
      <c r="FS907" s="25"/>
      <c r="FT907" s="25"/>
      <c r="FU907" s="25"/>
      <c r="FV907" s="28"/>
      <c r="FW907" s="27"/>
      <c r="FX907" s="27"/>
      <c r="FY907" s="25"/>
      <c r="FZ907" s="25"/>
      <c r="GA907" s="25"/>
      <c r="GB907" s="25"/>
      <c r="GC907" s="25"/>
      <c r="GD907" s="25"/>
      <c r="GE907" s="25"/>
      <c r="GF907" s="25"/>
      <c r="GG907" s="25"/>
      <c r="GH907" s="25"/>
      <c r="GI907" s="25"/>
      <c r="GJ907" s="25"/>
      <c r="GK907" s="25"/>
      <c r="GL907" s="25"/>
      <c r="GM907" s="25"/>
      <c r="GN907" s="25"/>
      <c r="GO907" s="25"/>
      <c r="GP907" s="25"/>
      <c r="GQ907" s="25"/>
      <c r="GR907" s="25"/>
      <c r="GS907" s="25"/>
      <c r="GT907" s="25"/>
      <c r="GU907" s="25"/>
      <c r="GV907" s="25"/>
      <c r="GW907" s="25"/>
      <c r="GX907" s="25"/>
      <c r="GY907" s="25"/>
      <c r="GZ907" s="25"/>
      <c r="HA907" s="25"/>
      <c r="HB907" s="25"/>
      <c r="HC907" s="25"/>
      <c r="HD907" s="25"/>
      <c r="HE907" s="25"/>
      <c r="HF907" s="25"/>
      <c r="HG907" s="25"/>
      <c r="HH907" s="25"/>
      <c r="HI907" s="25"/>
      <c r="HJ907" s="25"/>
      <c r="HK907" s="25"/>
      <c r="HL907" s="25"/>
    </row>
    <row r="908" spans="1:220" ht="15.75" customHeight="1" x14ac:dyDescent="0.2">
      <c r="A908" s="25"/>
      <c r="B908" s="29"/>
      <c r="C908" s="26"/>
      <c r="D908" s="29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  <c r="CI908" s="25"/>
      <c r="CJ908" s="25"/>
      <c r="CK908" s="25"/>
      <c r="CL908" s="25"/>
      <c r="CM908" s="25"/>
      <c r="CN908" s="25"/>
      <c r="CO908" s="25"/>
      <c r="CP908" s="25"/>
      <c r="CQ908" s="25"/>
      <c r="CR908" s="25"/>
      <c r="CS908" s="25"/>
      <c r="CT908" s="25"/>
      <c r="CU908" s="25"/>
      <c r="CV908" s="25"/>
      <c r="CW908" s="25"/>
      <c r="CX908" s="25"/>
      <c r="CY908" s="25"/>
      <c r="CZ908" s="25"/>
      <c r="DA908" s="25"/>
      <c r="DB908" s="25"/>
      <c r="DC908" s="25"/>
      <c r="DD908" s="25"/>
      <c r="DE908" s="25"/>
      <c r="DF908" s="25"/>
      <c r="DG908" s="25"/>
      <c r="DH908" s="25"/>
      <c r="DI908" s="25"/>
      <c r="DJ908" s="25"/>
      <c r="DK908" s="25"/>
      <c r="DL908" s="25"/>
      <c r="DM908" s="25"/>
      <c r="DN908" s="25"/>
      <c r="DO908" s="25"/>
      <c r="DP908" s="25"/>
      <c r="DQ908" s="25"/>
      <c r="DR908" s="25"/>
      <c r="DS908" s="25"/>
      <c r="DT908" s="25"/>
      <c r="DU908" s="25"/>
      <c r="DV908" s="25"/>
      <c r="DW908" s="25"/>
      <c r="DX908" s="25"/>
      <c r="DY908" s="25"/>
      <c r="DZ908" s="25"/>
      <c r="EA908" s="25"/>
      <c r="EB908" s="25"/>
      <c r="EC908" s="25"/>
      <c r="ED908" s="25"/>
      <c r="EE908" s="25"/>
      <c r="EF908" s="25"/>
      <c r="EG908" s="25"/>
      <c r="EH908" s="25"/>
      <c r="EI908" s="25"/>
      <c r="EJ908" s="25"/>
      <c r="EK908" s="25"/>
      <c r="EL908" s="25"/>
      <c r="EM908" s="25"/>
      <c r="EN908" s="25"/>
      <c r="EO908" s="25"/>
      <c r="EP908" s="25"/>
      <c r="EQ908" s="25"/>
      <c r="ER908" s="25"/>
      <c r="ES908" s="25"/>
      <c r="ET908" s="25"/>
      <c r="EU908" s="25"/>
      <c r="EV908" s="25"/>
      <c r="EW908" s="25"/>
      <c r="EX908" s="25"/>
      <c r="EY908" s="25"/>
      <c r="EZ908" s="25"/>
      <c r="FA908" s="25"/>
      <c r="FB908" s="25"/>
      <c r="FC908" s="25"/>
      <c r="FD908" s="25"/>
      <c r="FE908" s="25"/>
      <c r="FF908" s="25"/>
      <c r="FG908" s="25"/>
      <c r="FH908" s="25"/>
      <c r="FI908" s="25"/>
      <c r="FJ908" s="25"/>
      <c r="FK908" s="25"/>
      <c r="FL908" s="25"/>
      <c r="FM908" s="25"/>
      <c r="FN908" s="25"/>
      <c r="FO908" s="25"/>
      <c r="FP908" s="25"/>
      <c r="FQ908" s="25"/>
      <c r="FR908" s="25"/>
      <c r="FS908" s="25"/>
      <c r="FT908" s="25"/>
      <c r="FU908" s="25"/>
      <c r="FV908" s="28"/>
      <c r="FW908" s="27"/>
      <c r="FX908" s="27"/>
      <c r="FY908" s="25"/>
      <c r="FZ908" s="25"/>
      <c r="GA908" s="25"/>
      <c r="GB908" s="25"/>
      <c r="GC908" s="25"/>
      <c r="GD908" s="25"/>
      <c r="GE908" s="25"/>
      <c r="GF908" s="25"/>
      <c r="GG908" s="25"/>
      <c r="GH908" s="25"/>
      <c r="GI908" s="25"/>
      <c r="GJ908" s="25"/>
      <c r="GK908" s="25"/>
      <c r="GL908" s="25"/>
      <c r="GM908" s="25"/>
      <c r="GN908" s="25"/>
      <c r="GO908" s="25"/>
      <c r="GP908" s="25"/>
      <c r="GQ908" s="25"/>
      <c r="GR908" s="25"/>
      <c r="GS908" s="25"/>
      <c r="GT908" s="25"/>
      <c r="GU908" s="25"/>
      <c r="GV908" s="25"/>
      <c r="GW908" s="25"/>
      <c r="GX908" s="25"/>
      <c r="GY908" s="25"/>
      <c r="GZ908" s="25"/>
      <c r="HA908" s="25"/>
      <c r="HB908" s="25"/>
      <c r="HC908" s="25"/>
      <c r="HD908" s="25"/>
      <c r="HE908" s="25"/>
      <c r="HF908" s="25"/>
      <c r="HG908" s="25"/>
      <c r="HH908" s="25"/>
      <c r="HI908" s="25"/>
      <c r="HJ908" s="25"/>
      <c r="HK908" s="25"/>
      <c r="HL908" s="25"/>
    </row>
    <row r="909" spans="1:220" ht="15.75" customHeight="1" x14ac:dyDescent="0.2">
      <c r="A909" s="25"/>
      <c r="B909" s="29"/>
      <c r="C909" s="26"/>
      <c r="D909" s="29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  <c r="CI909" s="25"/>
      <c r="CJ909" s="25"/>
      <c r="CK909" s="25"/>
      <c r="CL909" s="25"/>
      <c r="CM909" s="25"/>
      <c r="CN909" s="25"/>
      <c r="CO909" s="25"/>
      <c r="CP909" s="25"/>
      <c r="CQ909" s="25"/>
      <c r="CR909" s="25"/>
      <c r="CS909" s="25"/>
      <c r="CT909" s="25"/>
      <c r="CU909" s="25"/>
      <c r="CV909" s="25"/>
      <c r="CW909" s="25"/>
      <c r="CX909" s="25"/>
      <c r="CY909" s="25"/>
      <c r="CZ909" s="25"/>
      <c r="DA909" s="25"/>
      <c r="DB909" s="25"/>
      <c r="DC909" s="25"/>
      <c r="DD909" s="25"/>
      <c r="DE909" s="25"/>
      <c r="DF909" s="25"/>
      <c r="DG909" s="25"/>
      <c r="DH909" s="25"/>
      <c r="DI909" s="25"/>
      <c r="DJ909" s="25"/>
      <c r="DK909" s="25"/>
      <c r="DL909" s="25"/>
      <c r="DM909" s="25"/>
      <c r="DN909" s="25"/>
      <c r="DO909" s="25"/>
      <c r="DP909" s="25"/>
      <c r="DQ909" s="25"/>
      <c r="DR909" s="25"/>
      <c r="DS909" s="25"/>
      <c r="DT909" s="25"/>
      <c r="DU909" s="25"/>
      <c r="DV909" s="25"/>
      <c r="DW909" s="25"/>
      <c r="DX909" s="25"/>
      <c r="DY909" s="25"/>
      <c r="DZ909" s="25"/>
      <c r="EA909" s="25"/>
      <c r="EB909" s="25"/>
      <c r="EC909" s="25"/>
      <c r="ED909" s="25"/>
      <c r="EE909" s="25"/>
      <c r="EF909" s="25"/>
      <c r="EG909" s="25"/>
      <c r="EH909" s="25"/>
      <c r="EI909" s="25"/>
      <c r="EJ909" s="25"/>
      <c r="EK909" s="25"/>
      <c r="EL909" s="25"/>
      <c r="EM909" s="25"/>
      <c r="EN909" s="25"/>
      <c r="EO909" s="25"/>
      <c r="EP909" s="25"/>
      <c r="EQ909" s="25"/>
      <c r="ER909" s="25"/>
      <c r="ES909" s="25"/>
      <c r="ET909" s="25"/>
      <c r="EU909" s="25"/>
      <c r="EV909" s="25"/>
      <c r="EW909" s="25"/>
      <c r="EX909" s="25"/>
      <c r="EY909" s="25"/>
      <c r="EZ909" s="25"/>
      <c r="FA909" s="25"/>
      <c r="FB909" s="25"/>
      <c r="FC909" s="25"/>
      <c r="FD909" s="25"/>
      <c r="FE909" s="25"/>
      <c r="FF909" s="25"/>
      <c r="FG909" s="25"/>
      <c r="FH909" s="25"/>
      <c r="FI909" s="25"/>
      <c r="FJ909" s="25"/>
      <c r="FK909" s="25"/>
      <c r="FL909" s="25"/>
      <c r="FM909" s="25"/>
      <c r="FN909" s="25"/>
      <c r="FO909" s="25"/>
      <c r="FP909" s="25"/>
      <c r="FQ909" s="25"/>
      <c r="FR909" s="25"/>
      <c r="FS909" s="25"/>
      <c r="FT909" s="25"/>
      <c r="FU909" s="25"/>
      <c r="FV909" s="28"/>
      <c r="FW909" s="27"/>
      <c r="FX909" s="27"/>
      <c r="FY909" s="25"/>
      <c r="FZ909" s="25"/>
      <c r="GA909" s="25"/>
      <c r="GB909" s="25"/>
      <c r="GC909" s="25"/>
      <c r="GD909" s="25"/>
      <c r="GE909" s="25"/>
      <c r="GF909" s="25"/>
      <c r="GG909" s="25"/>
      <c r="GH909" s="25"/>
      <c r="GI909" s="25"/>
      <c r="GJ909" s="25"/>
      <c r="GK909" s="25"/>
      <c r="GL909" s="25"/>
      <c r="GM909" s="25"/>
      <c r="GN909" s="25"/>
      <c r="GO909" s="25"/>
      <c r="GP909" s="25"/>
      <c r="GQ909" s="25"/>
      <c r="GR909" s="25"/>
      <c r="GS909" s="25"/>
      <c r="GT909" s="25"/>
      <c r="GU909" s="25"/>
      <c r="GV909" s="25"/>
      <c r="GW909" s="25"/>
      <c r="GX909" s="25"/>
      <c r="GY909" s="25"/>
      <c r="GZ909" s="25"/>
      <c r="HA909" s="25"/>
      <c r="HB909" s="25"/>
      <c r="HC909" s="25"/>
      <c r="HD909" s="25"/>
      <c r="HE909" s="25"/>
      <c r="HF909" s="25"/>
      <c r="HG909" s="25"/>
      <c r="HH909" s="25"/>
      <c r="HI909" s="25"/>
      <c r="HJ909" s="25"/>
      <c r="HK909" s="25"/>
      <c r="HL909" s="25"/>
    </row>
    <row r="910" spans="1:220" ht="15.75" customHeight="1" x14ac:dyDescent="0.2">
      <c r="A910" s="25"/>
      <c r="B910" s="29"/>
      <c r="C910" s="26"/>
      <c r="D910" s="29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  <c r="CI910" s="25"/>
      <c r="CJ910" s="25"/>
      <c r="CK910" s="25"/>
      <c r="CL910" s="25"/>
      <c r="CM910" s="25"/>
      <c r="CN910" s="25"/>
      <c r="CO910" s="25"/>
      <c r="CP910" s="25"/>
      <c r="CQ910" s="25"/>
      <c r="CR910" s="25"/>
      <c r="CS910" s="25"/>
      <c r="CT910" s="25"/>
      <c r="CU910" s="25"/>
      <c r="CV910" s="25"/>
      <c r="CW910" s="25"/>
      <c r="CX910" s="25"/>
      <c r="CY910" s="25"/>
      <c r="CZ910" s="25"/>
      <c r="DA910" s="25"/>
      <c r="DB910" s="25"/>
      <c r="DC910" s="25"/>
      <c r="DD910" s="25"/>
      <c r="DE910" s="25"/>
      <c r="DF910" s="25"/>
      <c r="DG910" s="25"/>
      <c r="DH910" s="25"/>
      <c r="DI910" s="25"/>
      <c r="DJ910" s="25"/>
      <c r="DK910" s="25"/>
      <c r="DL910" s="25"/>
      <c r="DM910" s="25"/>
      <c r="DN910" s="25"/>
      <c r="DO910" s="25"/>
      <c r="DP910" s="25"/>
      <c r="DQ910" s="25"/>
      <c r="DR910" s="25"/>
      <c r="DS910" s="25"/>
      <c r="DT910" s="25"/>
      <c r="DU910" s="25"/>
      <c r="DV910" s="25"/>
      <c r="DW910" s="25"/>
      <c r="DX910" s="25"/>
      <c r="DY910" s="25"/>
      <c r="DZ910" s="25"/>
      <c r="EA910" s="25"/>
      <c r="EB910" s="25"/>
      <c r="EC910" s="25"/>
      <c r="ED910" s="25"/>
      <c r="EE910" s="25"/>
      <c r="EF910" s="25"/>
      <c r="EG910" s="25"/>
      <c r="EH910" s="25"/>
      <c r="EI910" s="25"/>
      <c r="EJ910" s="25"/>
      <c r="EK910" s="25"/>
      <c r="EL910" s="25"/>
      <c r="EM910" s="25"/>
      <c r="EN910" s="25"/>
      <c r="EO910" s="25"/>
      <c r="EP910" s="25"/>
      <c r="EQ910" s="25"/>
      <c r="ER910" s="25"/>
      <c r="ES910" s="25"/>
      <c r="ET910" s="25"/>
      <c r="EU910" s="25"/>
      <c r="EV910" s="25"/>
      <c r="EW910" s="25"/>
      <c r="EX910" s="25"/>
      <c r="EY910" s="25"/>
      <c r="EZ910" s="25"/>
      <c r="FA910" s="25"/>
      <c r="FB910" s="25"/>
      <c r="FC910" s="25"/>
      <c r="FD910" s="25"/>
      <c r="FE910" s="25"/>
      <c r="FF910" s="25"/>
      <c r="FG910" s="25"/>
      <c r="FH910" s="25"/>
      <c r="FI910" s="25"/>
      <c r="FJ910" s="25"/>
      <c r="FK910" s="25"/>
      <c r="FL910" s="25"/>
      <c r="FM910" s="25"/>
      <c r="FN910" s="25"/>
      <c r="FO910" s="25"/>
      <c r="FP910" s="25"/>
      <c r="FQ910" s="25"/>
      <c r="FR910" s="25"/>
      <c r="FS910" s="25"/>
      <c r="FT910" s="25"/>
      <c r="FU910" s="25"/>
      <c r="FV910" s="28"/>
      <c r="FW910" s="27"/>
      <c r="FX910" s="27"/>
      <c r="FY910" s="25"/>
      <c r="FZ910" s="25"/>
      <c r="GA910" s="25"/>
      <c r="GB910" s="25"/>
      <c r="GC910" s="25"/>
      <c r="GD910" s="25"/>
      <c r="GE910" s="25"/>
      <c r="GF910" s="25"/>
      <c r="GG910" s="25"/>
      <c r="GH910" s="25"/>
      <c r="GI910" s="25"/>
      <c r="GJ910" s="25"/>
      <c r="GK910" s="25"/>
      <c r="GL910" s="25"/>
      <c r="GM910" s="25"/>
      <c r="GN910" s="25"/>
      <c r="GO910" s="25"/>
      <c r="GP910" s="25"/>
      <c r="GQ910" s="25"/>
      <c r="GR910" s="25"/>
      <c r="GS910" s="25"/>
      <c r="GT910" s="25"/>
      <c r="GU910" s="25"/>
      <c r="GV910" s="25"/>
      <c r="GW910" s="25"/>
      <c r="GX910" s="25"/>
      <c r="GY910" s="25"/>
      <c r="GZ910" s="25"/>
      <c r="HA910" s="25"/>
      <c r="HB910" s="25"/>
      <c r="HC910" s="25"/>
      <c r="HD910" s="25"/>
      <c r="HE910" s="25"/>
      <c r="HF910" s="25"/>
      <c r="HG910" s="25"/>
      <c r="HH910" s="25"/>
      <c r="HI910" s="25"/>
      <c r="HJ910" s="25"/>
      <c r="HK910" s="25"/>
      <c r="HL910" s="25"/>
    </row>
    <row r="911" spans="1:220" ht="15.75" customHeight="1" x14ac:dyDescent="0.2">
      <c r="A911" s="25"/>
      <c r="B911" s="29"/>
      <c r="C911" s="26"/>
      <c r="D911" s="29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  <c r="CI911" s="25"/>
      <c r="CJ911" s="25"/>
      <c r="CK911" s="25"/>
      <c r="CL911" s="25"/>
      <c r="CM911" s="25"/>
      <c r="CN911" s="25"/>
      <c r="CO911" s="25"/>
      <c r="CP911" s="25"/>
      <c r="CQ911" s="25"/>
      <c r="CR911" s="25"/>
      <c r="CS911" s="25"/>
      <c r="CT911" s="25"/>
      <c r="CU911" s="25"/>
      <c r="CV911" s="25"/>
      <c r="CW911" s="25"/>
      <c r="CX911" s="25"/>
      <c r="CY911" s="25"/>
      <c r="CZ911" s="25"/>
      <c r="DA911" s="25"/>
      <c r="DB911" s="25"/>
      <c r="DC911" s="25"/>
      <c r="DD911" s="25"/>
      <c r="DE911" s="25"/>
      <c r="DF911" s="25"/>
      <c r="DG911" s="25"/>
      <c r="DH911" s="25"/>
      <c r="DI911" s="25"/>
      <c r="DJ911" s="25"/>
      <c r="DK911" s="25"/>
      <c r="DL911" s="25"/>
      <c r="DM911" s="25"/>
      <c r="DN911" s="25"/>
      <c r="DO911" s="25"/>
      <c r="DP911" s="25"/>
      <c r="DQ911" s="25"/>
      <c r="DR911" s="25"/>
      <c r="DS911" s="25"/>
      <c r="DT911" s="25"/>
      <c r="DU911" s="25"/>
      <c r="DV911" s="25"/>
      <c r="DW911" s="25"/>
      <c r="DX911" s="25"/>
      <c r="DY911" s="25"/>
      <c r="DZ911" s="25"/>
      <c r="EA911" s="25"/>
      <c r="EB911" s="25"/>
      <c r="EC911" s="25"/>
      <c r="ED911" s="25"/>
      <c r="EE911" s="25"/>
      <c r="EF911" s="25"/>
      <c r="EG911" s="25"/>
      <c r="EH911" s="25"/>
      <c r="EI911" s="25"/>
      <c r="EJ911" s="25"/>
      <c r="EK911" s="25"/>
      <c r="EL911" s="25"/>
      <c r="EM911" s="25"/>
      <c r="EN911" s="25"/>
      <c r="EO911" s="25"/>
      <c r="EP911" s="25"/>
      <c r="EQ911" s="25"/>
      <c r="ER911" s="25"/>
      <c r="ES911" s="25"/>
      <c r="ET911" s="25"/>
      <c r="EU911" s="25"/>
      <c r="EV911" s="25"/>
      <c r="EW911" s="25"/>
      <c r="EX911" s="25"/>
      <c r="EY911" s="25"/>
      <c r="EZ911" s="25"/>
      <c r="FA911" s="25"/>
      <c r="FB911" s="25"/>
      <c r="FC911" s="25"/>
      <c r="FD911" s="25"/>
      <c r="FE911" s="25"/>
      <c r="FF911" s="25"/>
      <c r="FG911" s="25"/>
      <c r="FH911" s="25"/>
      <c r="FI911" s="25"/>
      <c r="FJ911" s="25"/>
      <c r="FK911" s="25"/>
      <c r="FL911" s="25"/>
      <c r="FM911" s="25"/>
      <c r="FN911" s="25"/>
      <c r="FO911" s="25"/>
      <c r="FP911" s="25"/>
      <c r="FQ911" s="25"/>
      <c r="FR911" s="25"/>
      <c r="FS911" s="25"/>
      <c r="FT911" s="25"/>
      <c r="FU911" s="25"/>
      <c r="FV911" s="28"/>
      <c r="FW911" s="27"/>
      <c r="FX911" s="27"/>
      <c r="FY911" s="25"/>
      <c r="FZ911" s="25"/>
      <c r="GA911" s="25"/>
      <c r="GB911" s="25"/>
      <c r="GC911" s="25"/>
      <c r="GD911" s="25"/>
      <c r="GE911" s="25"/>
      <c r="GF911" s="25"/>
      <c r="GG911" s="25"/>
      <c r="GH911" s="25"/>
      <c r="GI911" s="25"/>
      <c r="GJ911" s="25"/>
      <c r="GK911" s="25"/>
      <c r="GL911" s="25"/>
      <c r="GM911" s="25"/>
      <c r="GN911" s="25"/>
      <c r="GO911" s="25"/>
      <c r="GP911" s="25"/>
      <c r="GQ911" s="25"/>
      <c r="GR911" s="25"/>
      <c r="GS911" s="25"/>
      <c r="GT911" s="25"/>
      <c r="GU911" s="25"/>
      <c r="GV911" s="25"/>
      <c r="GW911" s="25"/>
      <c r="GX911" s="25"/>
      <c r="GY911" s="25"/>
      <c r="GZ911" s="25"/>
      <c r="HA911" s="25"/>
      <c r="HB911" s="25"/>
      <c r="HC911" s="25"/>
      <c r="HD911" s="25"/>
      <c r="HE911" s="25"/>
      <c r="HF911" s="25"/>
      <c r="HG911" s="25"/>
      <c r="HH911" s="25"/>
      <c r="HI911" s="25"/>
      <c r="HJ911" s="25"/>
      <c r="HK911" s="25"/>
      <c r="HL911" s="25"/>
    </row>
    <row r="912" spans="1:220" ht="15.75" customHeight="1" x14ac:dyDescent="0.2">
      <c r="A912" s="25"/>
      <c r="B912" s="29"/>
      <c r="C912" s="26"/>
      <c r="D912" s="29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  <c r="CI912" s="25"/>
      <c r="CJ912" s="25"/>
      <c r="CK912" s="25"/>
      <c r="CL912" s="25"/>
      <c r="CM912" s="25"/>
      <c r="CN912" s="25"/>
      <c r="CO912" s="25"/>
      <c r="CP912" s="25"/>
      <c r="CQ912" s="25"/>
      <c r="CR912" s="25"/>
      <c r="CS912" s="25"/>
      <c r="CT912" s="25"/>
      <c r="CU912" s="25"/>
      <c r="CV912" s="25"/>
      <c r="CW912" s="25"/>
      <c r="CX912" s="25"/>
      <c r="CY912" s="25"/>
      <c r="CZ912" s="25"/>
      <c r="DA912" s="25"/>
      <c r="DB912" s="25"/>
      <c r="DC912" s="25"/>
      <c r="DD912" s="25"/>
      <c r="DE912" s="25"/>
      <c r="DF912" s="25"/>
      <c r="DG912" s="25"/>
      <c r="DH912" s="25"/>
      <c r="DI912" s="25"/>
      <c r="DJ912" s="25"/>
      <c r="DK912" s="25"/>
      <c r="DL912" s="25"/>
      <c r="DM912" s="25"/>
      <c r="DN912" s="25"/>
      <c r="DO912" s="25"/>
      <c r="DP912" s="25"/>
      <c r="DQ912" s="25"/>
      <c r="DR912" s="25"/>
      <c r="DS912" s="25"/>
      <c r="DT912" s="25"/>
      <c r="DU912" s="25"/>
      <c r="DV912" s="25"/>
      <c r="DW912" s="25"/>
      <c r="DX912" s="25"/>
      <c r="DY912" s="25"/>
      <c r="DZ912" s="25"/>
      <c r="EA912" s="25"/>
      <c r="EB912" s="25"/>
      <c r="EC912" s="25"/>
      <c r="ED912" s="25"/>
      <c r="EE912" s="25"/>
      <c r="EF912" s="25"/>
      <c r="EG912" s="25"/>
      <c r="EH912" s="25"/>
      <c r="EI912" s="25"/>
      <c r="EJ912" s="25"/>
      <c r="EK912" s="25"/>
      <c r="EL912" s="25"/>
      <c r="EM912" s="25"/>
      <c r="EN912" s="25"/>
      <c r="EO912" s="25"/>
      <c r="EP912" s="25"/>
      <c r="EQ912" s="25"/>
      <c r="ER912" s="25"/>
      <c r="ES912" s="25"/>
      <c r="ET912" s="25"/>
      <c r="EU912" s="25"/>
      <c r="EV912" s="25"/>
      <c r="EW912" s="25"/>
      <c r="EX912" s="25"/>
      <c r="EY912" s="25"/>
      <c r="EZ912" s="25"/>
      <c r="FA912" s="25"/>
      <c r="FB912" s="25"/>
      <c r="FC912" s="25"/>
      <c r="FD912" s="25"/>
      <c r="FE912" s="25"/>
      <c r="FF912" s="25"/>
      <c r="FG912" s="25"/>
      <c r="FH912" s="25"/>
      <c r="FI912" s="25"/>
      <c r="FJ912" s="25"/>
      <c r="FK912" s="25"/>
      <c r="FL912" s="25"/>
      <c r="FM912" s="25"/>
      <c r="FN912" s="25"/>
      <c r="FO912" s="25"/>
      <c r="FP912" s="25"/>
      <c r="FQ912" s="25"/>
      <c r="FR912" s="25"/>
      <c r="FS912" s="25"/>
      <c r="FT912" s="25"/>
      <c r="FU912" s="25"/>
      <c r="FV912" s="28"/>
      <c r="FW912" s="27"/>
      <c r="FX912" s="27"/>
      <c r="FY912" s="25"/>
      <c r="FZ912" s="25"/>
      <c r="GA912" s="25"/>
      <c r="GB912" s="25"/>
      <c r="GC912" s="25"/>
      <c r="GD912" s="25"/>
      <c r="GE912" s="25"/>
      <c r="GF912" s="25"/>
      <c r="GG912" s="25"/>
      <c r="GH912" s="25"/>
      <c r="GI912" s="25"/>
      <c r="GJ912" s="25"/>
      <c r="GK912" s="25"/>
      <c r="GL912" s="25"/>
      <c r="GM912" s="25"/>
      <c r="GN912" s="25"/>
      <c r="GO912" s="25"/>
      <c r="GP912" s="25"/>
      <c r="GQ912" s="25"/>
      <c r="GR912" s="25"/>
      <c r="GS912" s="25"/>
      <c r="GT912" s="25"/>
      <c r="GU912" s="25"/>
      <c r="GV912" s="25"/>
      <c r="GW912" s="25"/>
      <c r="GX912" s="25"/>
      <c r="GY912" s="25"/>
      <c r="GZ912" s="25"/>
      <c r="HA912" s="25"/>
      <c r="HB912" s="25"/>
      <c r="HC912" s="25"/>
      <c r="HD912" s="25"/>
      <c r="HE912" s="25"/>
      <c r="HF912" s="25"/>
      <c r="HG912" s="25"/>
      <c r="HH912" s="25"/>
      <c r="HI912" s="25"/>
      <c r="HJ912" s="25"/>
      <c r="HK912" s="25"/>
      <c r="HL912" s="25"/>
    </row>
    <row r="913" spans="1:220" ht="15.75" customHeight="1" x14ac:dyDescent="0.2">
      <c r="A913" s="25"/>
      <c r="B913" s="29"/>
      <c r="C913" s="26"/>
      <c r="D913" s="29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  <c r="CI913" s="25"/>
      <c r="CJ913" s="25"/>
      <c r="CK913" s="25"/>
      <c r="CL913" s="25"/>
      <c r="CM913" s="25"/>
      <c r="CN913" s="25"/>
      <c r="CO913" s="25"/>
      <c r="CP913" s="25"/>
      <c r="CQ913" s="25"/>
      <c r="CR913" s="25"/>
      <c r="CS913" s="25"/>
      <c r="CT913" s="25"/>
      <c r="CU913" s="25"/>
      <c r="CV913" s="25"/>
      <c r="CW913" s="25"/>
      <c r="CX913" s="25"/>
      <c r="CY913" s="25"/>
      <c r="CZ913" s="25"/>
      <c r="DA913" s="25"/>
      <c r="DB913" s="25"/>
      <c r="DC913" s="25"/>
      <c r="DD913" s="25"/>
      <c r="DE913" s="25"/>
      <c r="DF913" s="25"/>
      <c r="DG913" s="25"/>
      <c r="DH913" s="25"/>
      <c r="DI913" s="25"/>
      <c r="DJ913" s="25"/>
      <c r="DK913" s="25"/>
      <c r="DL913" s="25"/>
      <c r="DM913" s="25"/>
      <c r="DN913" s="25"/>
      <c r="DO913" s="25"/>
      <c r="DP913" s="25"/>
      <c r="DQ913" s="25"/>
      <c r="DR913" s="25"/>
      <c r="DS913" s="25"/>
      <c r="DT913" s="25"/>
      <c r="DU913" s="25"/>
      <c r="DV913" s="25"/>
      <c r="DW913" s="25"/>
      <c r="DX913" s="25"/>
      <c r="DY913" s="25"/>
      <c r="DZ913" s="25"/>
      <c r="EA913" s="25"/>
      <c r="EB913" s="25"/>
      <c r="EC913" s="25"/>
      <c r="ED913" s="25"/>
      <c r="EE913" s="25"/>
      <c r="EF913" s="25"/>
      <c r="EG913" s="25"/>
      <c r="EH913" s="25"/>
      <c r="EI913" s="25"/>
      <c r="EJ913" s="25"/>
      <c r="EK913" s="25"/>
      <c r="EL913" s="25"/>
      <c r="EM913" s="25"/>
      <c r="EN913" s="25"/>
      <c r="EO913" s="25"/>
      <c r="EP913" s="25"/>
      <c r="EQ913" s="25"/>
      <c r="ER913" s="25"/>
      <c r="ES913" s="25"/>
      <c r="ET913" s="25"/>
      <c r="EU913" s="25"/>
      <c r="EV913" s="25"/>
      <c r="EW913" s="25"/>
      <c r="EX913" s="25"/>
      <c r="EY913" s="25"/>
      <c r="EZ913" s="25"/>
      <c r="FA913" s="25"/>
      <c r="FB913" s="25"/>
      <c r="FC913" s="25"/>
      <c r="FD913" s="25"/>
      <c r="FE913" s="25"/>
      <c r="FF913" s="25"/>
      <c r="FG913" s="25"/>
      <c r="FH913" s="25"/>
      <c r="FI913" s="25"/>
      <c r="FJ913" s="25"/>
      <c r="FK913" s="25"/>
      <c r="FL913" s="25"/>
      <c r="FM913" s="25"/>
      <c r="FN913" s="25"/>
      <c r="FO913" s="25"/>
      <c r="FP913" s="25"/>
      <c r="FQ913" s="25"/>
      <c r="FR913" s="25"/>
      <c r="FS913" s="25"/>
      <c r="FT913" s="25"/>
      <c r="FU913" s="25"/>
      <c r="FV913" s="28"/>
      <c r="FW913" s="27"/>
      <c r="FX913" s="27"/>
      <c r="FY913" s="25"/>
      <c r="FZ913" s="25"/>
      <c r="GA913" s="25"/>
      <c r="GB913" s="25"/>
      <c r="GC913" s="25"/>
      <c r="GD913" s="25"/>
      <c r="GE913" s="25"/>
      <c r="GF913" s="25"/>
      <c r="GG913" s="25"/>
      <c r="GH913" s="25"/>
      <c r="GI913" s="25"/>
      <c r="GJ913" s="25"/>
      <c r="GK913" s="25"/>
      <c r="GL913" s="25"/>
      <c r="GM913" s="25"/>
      <c r="GN913" s="25"/>
      <c r="GO913" s="25"/>
      <c r="GP913" s="25"/>
      <c r="GQ913" s="25"/>
      <c r="GR913" s="25"/>
      <c r="GS913" s="25"/>
      <c r="GT913" s="25"/>
      <c r="GU913" s="25"/>
      <c r="GV913" s="25"/>
      <c r="GW913" s="25"/>
      <c r="GX913" s="25"/>
      <c r="GY913" s="25"/>
      <c r="GZ913" s="25"/>
      <c r="HA913" s="25"/>
      <c r="HB913" s="25"/>
      <c r="HC913" s="25"/>
      <c r="HD913" s="25"/>
      <c r="HE913" s="25"/>
      <c r="HF913" s="25"/>
      <c r="HG913" s="25"/>
      <c r="HH913" s="25"/>
      <c r="HI913" s="25"/>
      <c r="HJ913" s="25"/>
      <c r="HK913" s="25"/>
      <c r="HL913" s="25"/>
    </row>
    <row r="914" spans="1:220" ht="15.75" customHeight="1" x14ac:dyDescent="0.2">
      <c r="A914" s="25"/>
      <c r="B914" s="29"/>
      <c r="C914" s="26"/>
      <c r="D914" s="29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  <c r="CI914" s="25"/>
      <c r="CJ914" s="25"/>
      <c r="CK914" s="25"/>
      <c r="CL914" s="25"/>
      <c r="CM914" s="25"/>
      <c r="CN914" s="25"/>
      <c r="CO914" s="25"/>
      <c r="CP914" s="25"/>
      <c r="CQ914" s="25"/>
      <c r="CR914" s="25"/>
      <c r="CS914" s="25"/>
      <c r="CT914" s="25"/>
      <c r="CU914" s="25"/>
      <c r="CV914" s="25"/>
      <c r="CW914" s="25"/>
      <c r="CX914" s="25"/>
      <c r="CY914" s="25"/>
      <c r="CZ914" s="25"/>
      <c r="DA914" s="25"/>
      <c r="DB914" s="25"/>
      <c r="DC914" s="25"/>
      <c r="DD914" s="25"/>
      <c r="DE914" s="25"/>
      <c r="DF914" s="25"/>
      <c r="DG914" s="25"/>
      <c r="DH914" s="25"/>
      <c r="DI914" s="25"/>
      <c r="DJ914" s="25"/>
      <c r="DK914" s="25"/>
      <c r="DL914" s="25"/>
      <c r="DM914" s="25"/>
      <c r="DN914" s="25"/>
      <c r="DO914" s="25"/>
      <c r="DP914" s="25"/>
      <c r="DQ914" s="25"/>
      <c r="DR914" s="25"/>
      <c r="DS914" s="25"/>
      <c r="DT914" s="25"/>
      <c r="DU914" s="25"/>
      <c r="DV914" s="25"/>
      <c r="DW914" s="25"/>
      <c r="DX914" s="25"/>
      <c r="DY914" s="25"/>
      <c r="DZ914" s="25"/>
      <c r="EA914" s="25"/>
      <c r="EB914" s="25"/>
      <c r="EC914" s="25"/>
      <c r="ED914" s="25"/>
      <c r="EE914" s="25"/>
      <c r="EF914" s="25"/>
      <c r="EG914" s="25"/>
      <c r="EH914" s="25"/>
      <c r="EI914" s="25"/>
      <c r="EJ914" s="25"/>
      <c r="EK914" s="25"/>
      <c r="EL914" s="25"/>
      <c r="EM914" s="25"/>
      <c r="EN914" s="25"/>
      <c r="EO914" s="25"/>
      <c r="EP914" s="25"/>
      <c r="EQ914" s="25"/>
      <c r="ER914" s="25"/>
      <c r="ES914" s="25"/>
      <c r="ET914" s="25"/>
      <c r="EU914" s="25"/>
      <c r="EV914" s="25"/>
      <c r="EW914" s="25"/>
      <c r="EX914" s="25"/>
      <c r="EY914" s="25"/>
      <c r="EZ914" s="25"/>
      <c r="FA914" s="25"/>
      <c r="FB914" s="25"/>
      <c r="FC914" s="25"/>
      <c r="FD914" s="25"/>
      <c r="FE914" s="25"/>
      <c r="FF914" s="25"/>
      <c r="FG914" s="25"/>
      <c r="FH914" s="25"/>
      <c r="FI914" s="25"/>
      <c r="FJ914" s="25"/>
      <c r="FK914" s="25"/>
      <c r="FL914" s="25"/>
      <c r="FM914" s="25"/>
      <c r="FN914" s="25"/>
      <c r="FO914" s="25"/>
      <c r="FP914" s="25"/>
      <c r="FQ914" s="25"/>
      <c r="FR914" s="25"/>
      <c r="FS914" s="25"/>
      <c r="FT914" s="25"/>
      <c r="FU914" s="25"/>
      <c r="FV914" s="28"/>
      <c r="FW914" s="27"/>
      <c r="FX914" s="27"/>
      <c r="FY914" s="25"/>
      <c r="FZ914" s="25"/>
      <c r="GA914" s="25"/>
      <c r="GB914" s="25"/>
      <c r="GC914" s="25"/>
      <c r="GD914" s="25"/>
      <c r="GE914" s="25"/>
      <c r="GF914" s="25"/>
      <c r="GG914" s="25"/>
      <c r="GH914" s="25"/>
      <c r="GI914" s="25"/>
      <c r="GJ914" s="25"/>
      <c r="GK914" s="25"/>
      <c r="GL914" s="25"/>
      <c r="GM914" s="25"/>
      <c r="GN914" s="25"/>
      <c r="GO914" s="25"/>
      <c r="GP914" s="25"/>
      <c r="GQ914" s="25"/>
      <c r="GR914" s="25"/>
      <c r="GS914" s="25"/>
      <c r="GT914" s="25"/>
      <c r="GU914" s="25"/>
      <c r="GV914" s="25"/>
      <c r="GW914" s="25"/>
      <c r="GX914" s="25"/>
      <c r="GY914" s="25"/>
      <c r="GZ914" s="25"/>
      <c r="HA914" s="25"/>
      <c r="HB914" s="25"/>
      <c r="HC914" s="25"/>
      <c r="HD914" s="25"/>
      <c r="HE914" s="25"/>
      <c r="HF914" s="25"/>
      <c r="HG914" s="25"/>
      <c r="HH914" s="25"/>
      <c r="HI914" s="25"/>
      <c r="HJ914" s="25"/>
      <c r="HK914" s="25"/>
      <c r="HL914" s="25"/>
    </row>
    <row r="915" spans="1:220" ht="15.75" customHeight="1" x14ac:dyDescent="0.2">
      <c r="A915" s="25"/>
      <c r="B915" s="29"/>
      <c r="C915" s="26"/>
      <c r="D915" s="29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  <c r="CI915" s="25"/>
      <c r="CJ915" s="25"/>
      <c r="CK915" s="25"/>
      <c r="CL915" s="25"/>
      <c r="CM915" s="25"/>
      <c r="CN915" s="25"/>
      <c r="CO915" s="25"/>
      <c r="CP915" s="25"/>
      <c r="CQ915" s="25"/>
      <c r="CR915" s="25"/>
      <c r="CS915" s="25"/>
      <c r="CT915" s="25"/>
      <c r="CU915" s="25"/>
      <c r="CV915" s="25"/>
      <c r="CW915" s="25"/>
      <c r="CX915" s="25"/>
      <c r="CY915" s="25"/>
      <c r="CZ915" s="25"/>
      <c r="DA915" s="25"/>
      <c r="DB915" s="25"/>
      <c r="DC915" s="25"/>
      <c r="DD915" s="25"/>
      <c r="DE915" s="25"/>
      <c r="DF915" s="25"/>
      <c r="DG915" s="25"/>
      <c r="DH915" s="25"/>
      <c r="DI915" s="25"/>
      <c r="DJ915" s="25"/>
      <c r="DK915" s="25"/>
      <c r="DL915" s="25"/>
      <c r="DM915" s="25"/>
      <c r="DN915" s="25"/>
      <c r="DO915" s="25"/>
      <c r="DP915" s="25"/>
      <c r="DQ915" s="25"/>
      <c r="DR915" s="25"/>
      <c r="DS915" s="25"/>
      <c r="DT915" s="25"/>
      <c r="DU915" s="25"/>
      <c r="DV915" s="25"/>
      <c r="DW915" s="25"/>
      <c r="DX915" s="25"/>
      <c r="DY915" s="25"/>
      <c r="DZ915" s="25"/>
      <c r="EA915" s="25"/>
      <c r="EB915" s="25"/>
      <c r="EC915" s="25"/>
      <c r="ED915" s="25"/>
      <c r="EE915" s="25"/>
      <c r="EF915" s="25"/>
      <c r="EG915" s="25"/>
      <c r="EH915" s="25"/>
      <c r="EI915" s="25"/>
      <c r="EJ915" s="25"/>
      <c r="EK915" s="25"/>
      <c r="EL915" s="25"/>
      <c r="EM915" s="25"/>
      <c r="EN915" s="25"/>
      <c r="EO915" s="25"/>
      <c r="EP915" s="25"/>
      <c r="EQ915" s="25"/>
      <c r="ER915" s="25"/>
      <c r="ES915" s="25"/>
      <c r="ET915" s="25"/>
      <c r="EU915" s="25"/>
      <c r="EV915" s="25"/>
      <c r="EW915" s="25"/>
      <c r="EX915" s="25"/>
      <c r="EY915" s="25"/>
      <c r="EZ915" s="25"/>
      <c r="FA915" s="25"/>
      <c r="FB915" s="25"/>
      <c r="FC915" s="25"/>
      <c r="FD915" s="25"/>
      <c r="FE915" s="25"/>
      <c r="FF915" s="25"/>
      <c r="FG915" s="25"/>
      <c r="FH915" s="25"/>
      <c r="FI915" s="25"/>
      <c r="FJ915" s="25"/>
      <c r="FK915" s="25"/>
      <c r="FL915" s="25"/>
      <c r="FM915" s="25"/>
      <c r="FN915" s="25"/>
      <c r="FO915" s="25"/>
      <c r="FP915" s="25"/>
      <c r="FQ915" s="25"/>
      <c r="FR915" s="25"/>
      <c r="FS915" s="25"/>
      <c r="FT915" s="25"/>
      <c r="FU915" s="25"/>
      <c r="FV915" s="28"/>
      <c r="FW915" s="27"/>
      <c r="FX915" s="27"/>
      <c r="FY915" s="25"/>
      <c r="FZ915" s="25"/>
      <c r="GA915" s="25"/>
      <c r="GB915" s="25"/>
      <c r="GC915" s="25"/>
      <c r="GD915" s="25"/>
      <c r="GE915" s="25"/>
      <c r="GF915" s="25"/>
      <c r="GG915" s="25"/>
      <c r="GH915" s="25"/>
      <c r="GI915" s="25"/>
      <c r="GJ915" s="25"/>
      <c r="GK915" s="25"/>
      <c r="GL915" s="25"/>
      <c r="GM915" s="25"/>
      <c r="GN915" s="25"/>
      <c r="GO915" s="25"/>
      <c r="GP915" s="25"/>
      <c r="GQ915" s="25"/>
      <c r="GR915" s="25"/>
      <c r="GS915" s="25"/>
      <c r="GT915" s="25"/>
      <c r="GU915" s="25"/>
      <c r="GV915" s="25"/>
      <c r="GW915" s="25"/>
      <c r="GX915" s="25"/>
      <c r="GY915" s="25"/>
      <c r="GZ915" s="25"/>
      <c r="HA915" s="25"/>
      <c r="HB915" s="25"/>
      <c r="HC915" s="25"/>
      <c r="HD915" s="25"/>
      <c r="HE915" s="25"/>
      <c r="HF915" s="25"/>
      <c r="HG915" s="25"/>
      <c r="HH915" s="25"/>
      <c r="HI915" s="25"/>
      <c r="HJ915" s="25"/>
      <c r="HK915" s="25"/>
      <c r="HL915" s="25"/>
    </row>
    <row r="916" spans="1:220" ht="15.75" customHeight="1" x14ac:dyDescent="0.2">
      <c r="A916" s="25"/>
      <c r="B916" s="29"/>
      <c r="C916" s="26"/>
      <c r="D916" s="29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  <c r="CI916" s="25"/>
      <c r="CJ916" s="25"/>
      <c r="CK916" s="25"/>
      <c r="CL916" s="25"/>
      <c r="CM916" s="25"/>
      <c r="CN916" s="25"/>
      <c r="CO916" s="25"/>
      <c r="CP916" s="25"/>
      <c r="CQ916" s="25"/>
      <c r="CR916" s="25"/>
      <c r="CS916" s="25"/>
      <c r="CT916" s="25"/>
      <c r="CU916" s="25"/>
      <c r="CV916" s="25"/>
      <c r="CW916" s="25"/>
      <c r="CX916" s="25"/>
      <c r="CY916" s="25"/>
      <c r="CZ916" s="25"/>
      <c r="DA916" s="25"/>
      <c r="DB916" s="25"/>
      <c r="DC916" s="25"/>
      <c r="DD916" s="25"/>
      <c r="DE916" s="25"/>
      <c r="DF916" s="25"/>
      <c r="DG916" s="25"/>
      <c r="DH916" s="25"/>
      <c r="DI916" s="25"/>
      <c r="DJ916" s="25"/>
      <c r="DK916" s="25"/>
      <c r="DL916" s="25"/>
      <c r="DM916" s="25"/>
      <c r="DN916" s="25"/>
      <c r="DO916" s="25"/>
      <c r="DP916" s="25"/>
      <c r="DQ916" s="25"/>
      <c r="DR916" s="25"/>
      <c r="DS916" s="25"/>
      <c r="DT916" s="25"/>
      <c r="DU916" s="25"/>
      <c r="DV916" s="25"/>
      <c r="DW916" s="25"/>
      <c r="DX916" s="25"/>
      <c r="DY916" s="25"/>
      <c r="DZ916" s="25"/>
      <c r="EA916" s="25"/>
      <c r="EB916" s="25"/>
      <c r="EC916" s="25"/>
      <c r="ED916" s="25"/>
      <c r="EE916" s="25"/>
      <c r="EF916" s="25"/>
      <c r="EG916" s="25"/>
      <c r="EH916" s="25"/>
      <c r="EI916" s="25"/>
      <c r="EJ916" s="25"/>
      <c r="EK916" s="25"/>
      <c r="EL916" s="25"/>
      <c r="EM916" s="25"/>
      <c r="EN916" s="25"/>
      <c r="EO916" s="25"/>
      <c r="EP916" s="25"/>
      <c r="EQ916" s="25"/>
      <c r="ER916" s="25"/>
      <c r="ES916" s="25"/>
      <c r="ET916" s="25"/>
      <c r="EU916" s="25"/>
      <c r="EV916" s="25"/>
      <c r="EW916" s="25"/>
      <c r="EX916" s="25"/>
      <c r="EY916" s="25"/>
      <c r="EZ916" s="25"/>
      <c r="FA916" s="25"/>
      <c r="FB916" s="25"/>
      <c r="FC916" s="25"/>
      <c r="FD916" s="25"/>
      <c r="FE916" s="25"/>
      <c r="FF916" s="25"/>
      <c r="FG916" s="25"/>
      <c r="FH916" s="25"/>
      <c r="FI916" s="25"/>
      <c r="FJ916" s="25"/>
      <c r="FK916" s="25"/>
      <c r="FL916" s="25"/>
      <c r="FM916" s="25"/>
      <c r="FN916" s="25"/>
      <c r="FO916" s="25"/>
      <c r="FP916" s="25"/>
      <c r="FQ916" s="25"/>
      <c r="FR916" s="25"/>
      <c r="FS916" s="25"/>
      <c r="FT916" s="25"/>
      <c r="FU916" s="25"/>
      <c r="FV916" s="28"/>
      <c r="FW916" s="27"/>
      <c r="FX916" s="27"/>
      <c r="FY916" s="25"/>
      <c r="FZ916" s="25"/>
      <c r="GA916" s="25"/>
      <c r="GB916" s="25"/>
      <c r="GC916" s="25"/>
      <c r="GD916" s="25"/>
      <c r="GE916" s="25"/>
      <c r="GF916" s="25"/>
      <c r="GG916" s="25"/>
      <c r="GH916" s="25"/>
      <c r="GI916" s="25"/>
      <c r="GJ916" s="25"/>
      <c r="GK916" s="25"/>
      <c r="GL916" s="25"/>
      <c r="GM916" s="25"/>
      <c r="GN916" s="25"/>
      <c r="GO916" s="25"/>
      <c r="GP916" s="25"/>
      <c r="GQ916" s="25"/>
      <c r="GR916" s="25"/>
      <c r="GS916" s="25"/>
      <c r="GT916" s="25"/>
      <c r="GU916" s="25"/>
      <c r="GV916" s="25"/>
      <c r="GW916" s="25"/>
      <c r="GX916" s="25"/>
      <c r="GY916" s="25"/>
      <c r="GZ916" s="25"/>
      <c r="HA916" s="25"/>
      <c r="HB916" s="25"/>
      <c r="HC916" s="25"/>
      <c r="HD916" s="25"/>
      <c r="HE916" s="25"/>
      <c r="HF916" s="25"/>
      <c r="HG916" s="25"/>
      <c r="HH916" s="25"/>
      <c r="HI916" s="25"/>
      <c r="HJ916" s="25"/>
      <c r="HK916" s="25"/>
      <c r="HL916" s="25"/>
    </row>
    <row r="917" spans="1:220" ht="15.75" customHeight="1" x14ac:dyDescent="0.2">
      <c r="A917" s="25"/>
      <c r="B917" s="29"/>
      <c r="C917" s="26"/>
      <c r="D917" s="29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  <c r="CI917" s="25"/>
      <c r="CJ917" s="25"/>
      <c r="CK917" s="25"/>
      <c r="CL917" s="25"/>
      <c r="CM917" s="25"/>
      <c r="CN917" s="25"/>
      <c r="CO917" s="25"/>
      <c r="CP917" s="25"/>
      <c r="CQ917" s="25"/>
      <c r="CR917" s="25"/>
      <c r="CS917" s="25"/>
      <c r="CT917" s="25"/>
      <c r="CU917" s="25"/>
      <c r="CV917" s="25"/>
      <c r="CW917" s="25"/>
      <c r="CX917" s="25"/>
      <c r="CY917" s="25"/>
      <c r="CZ917" s="25"/>
      <c r="DA917" s="25"/>
      <c r="DB917" s="25"/>
      <c r="DC917" s="25"/>
      <c r="DD917" s="25"/>
      <c r="DE917" s="25"/>
      <c r="DF917" s="25"/>
      <c r="DG917" s="25"/>
      <c r="DH917" s="25"/>
      <c r="DI917" s="25"/>
      <c r="DJ917" s="25"/>
      <c r="DK917" s="25"/>
      <c r="DL917" s="25"/>
      <c r="DM917" s="25"/>
      <c r="DN917" s="25"/>
      <c r="DO917" s="25"/>
      <c r="DP917" s="25"/>
      <c r="DQ917" s="25"/>
      <c r="DR917" s="25"/>
      <c r="DS917" s="25"/>
      <c r="DT917" s="25"/>
      <c r="DU917" s="25"/>
      <c r="DV917" s="25"/>
      <c r="DW917" s="25"/>
      <c r="DX917" s="25"/>
      <c r="DY917" s="25"/>
      <c r="DZ917" s="25"/>
      <c r="EA917" s="25"/>
      <c r="EB917" s="25"/>
      <c r="EC917" s="25"/>
      <c r="ED917" s="25"/>
      <c r="EE917" s="25"/>
      <c r="EF917" s="25"/>
      <c r="EG917" s="25"/>
      <c r="EH917" s="25"/>
      <c r="EI917" s="25"/>
      <c r="EJ917" s="25"/>
      <c r="EK917" s="25"/>
      <c r="EL917" s="25"/>
      <c r="EM917" s="25"/>
      <c r="EN917" s="25"/>
      <c r="EO917" s="25"/>
      <c r="EP917" s="25"/>
      <c r="EQ917" s="25"/>
      <c r="ER917" s="25"/>
      <c r="ES917" s="25"/>
      <c r="ET917" s="25"/>
      <c r="EU917" s="25"/>
      <c r="EV917" s="25"/>
      <c r="EW917" s="25"/>
      <c r="EX917" s="25"/>
      <c r="EY917" s="25"/>
      <c r="EZ917" s="25"/>
      <c r="FA917" s="25"/>
      <c r="FB917" s="25"/>
      <c r="FC917" s="25"/>
      <c r="FD917" s="25"/>
      <c r="FE917" s="25"/>
      <c r="FF917" s="25"/>
      <c r="FG917" s="25"/>
      <c r="FH917" s="25"/>
      <c r="FI917" s="25"/>
      <c r="FJ917" s="25"/>
      <c r="FK917" s="25"/>
      <c r="FL917" s="25"/>
      <c r="FM917" s="25"/>
      <c r="FN917" s="25"/>
      <c r="FO917" s="25"/>
      <c r="FP917" s="25"/>
      <c r="FQ917" s="25"/>
      <c r="FR917" s="25"/>
      <c r="FS917" s="25"/>
      <c r="FT917" s="25"/>
      <c r="FU917" s="25"/>
      <c r="FV917" s="28"/>
      <c r="FW917" s="27"/>
      <c r="FX917" s="27"/>
      <c r="FY917" s="25"/>
      <c r="FZ917" s="25"/>
      <c r="GA917" s="25"/>
      <c r="GB917" s="25"/>
      <c r="GC917" s="25"/>
      <c r="GD917" s="25"/>
      <c r="GE917" s="25"/>
      <c r="GF917" s="25"/>
      <c r="GG917" s="25"/>
      <c r="GH917" s="25"/>
      <c r="GI917" s="25"/>
      <c r="GJ917" s="25"/>
      <c r="GK917" s="25"/>
      <c r="GL917" s="25"/>
      <c r="GM917" s="25"/>
      <c r="GN917" s="25"/>
      <c r="GO917" s="25"/>
      <c r="GP917" s="25"/>
      <c r="GQ917" s="25"/>
      <c r="GR917" s="25"/>
      <c r="GS917" s="25"/>
      <c r="GT917" s="25"/>
      <c r="GU917" s="25"/>
      <c r="GV917" s="25"/>
      <c r="GW917" s="25"/>
      <c r="GX917" s="25"/>
      <c r="GY917" s="25"/>
      <c r="GZ917" s="25"/>
      <c r="HA917" s="25"/>
      <c r="HB917" s="25"/>
      <c r="HC917" s="25"/>
      <c r="HD917" s="25"/>
      <c r="HE917" s="25"/>
      <c r="HF917" s="25"/>
      <c r="HG917" s="25"/>
      <c r="HH917" s="25"/>
      <c r="HI917" s="25"/>
      <c r="HJ917" s="25"/>
      <c r="HK917" s="25"/>
      <c r="HL917" s="25"/>
    </row>
    <row r="918" spans="1:220" ht="15.75" customHeight="1" x14ac:dyDescent="0.2">
      <c r="A918" s="25"/>
      <c r="B918" s="29"/>
      <c r="C918" s="26"/>
      <c r="D918" s="29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  <c r="CI918" s="25"/>
      <c r="CJ918" s="25"/>
      <c r="CK918" s="25"/>
      <c r="CL918" s="25"/>
      <c r="CM918" s="25"/>
      <c r="CN918" s="25"/>
      <c r="CO918" s="25"/>
      <c r="CP918" s="25"/>
      <c r="CQ918" s="25"/>
      <c r="CR918" s="25"/>
      <c r="CS918" s="25"/>
      <c r="CT918" s="25"/>
      <c r="CU918" s="25"/>
      <c r="CV918" s="25"/>
      <c r="CW918" s="25"/>
      <c r="CX918" s="25"/>
      <c r="CY918" s="25"/>
      <c r="CZ918" s="25"/>
      <c r="DA918" s="25"/>
      <c r="DB918" s="25"/>
      <c r="DC918" s="25"/>
      <c r="DD918" s="25"/>
      <c r="DE918" s="25"/>
      <c r="DF918" s="25"/>
      <c r="DG918" s="25"/>
      <c r="DH918" s="25"/>
      <c r="DI918" s="25"/>
      <c r="DJ918" s="25"/>
      <c r="DK918" s="25"/>
      <c r="DL918" s="25"/>
      <c r="DM918" s="25"/>
      <c r="DN918" s="25"/>
      <c r="DO918" s="25"/>
      <c r="DP918" s="25"/>
      <c r="DQ918" s="25"/>
      <c r="DR918" s="25"/>
      <c r="DS918" s="25"/>
      <c r="DT918" s="25"/>
      <c r="DU918" s="25"/>
      <c r="DV918" s="25"/>
      <c r="DW918" s="25"/>
      <c r="DX918" s="25"/>
      <c r="DY918" s="25"/>
      <c r="DZ918" s="25"/>
      <c r="EA918" s="25"/>
      <c r="EB918" s="25"/>
      <c r="EC918" s="25"/>
      <c r="ED918" s="25"/>
      <c r="EE918" s="25"/>
      <c r="EF918" s="25"/>
      <c r="EG918" s="25"/>
      <c r="EH918" s="25"/>
      <c r="EI918" s="25"/>
      <c r="EJ918" s="25"/>
      <c r="EK918" s="25"/>
      <c r="EL918" s="25"/>
      <c r="EM918" s="25"/>
      <c r="EN918" s="25"/>
      <c r="EO918" s="25"/>
      <c r="EP918" s="25"/>
      <c r="EQ918" s="25"/>
      <c r="ER918" s="25"/>
      <c r="ES918" s="25"/>
      <c r="ET918" s="25"/>
      <c r="EU918" s="25"/>
      <c r="EV918" s="25"/>
      <c r="EW918" s="25"/>
      <c r="EX918" s="25"/>
      <c r="EY918" s="25"/>
      <c r="EZ918" s="25"/>
      <c r="FA918" s="25"/>
      <c r="FB918" s="25"/>
      <c r="FC918" s="25"/>
      <c r="FD918" s="25"/>
      <c r="FE918" s="25"/>
      <c r="FF918" s="25"/>
      <c r="FG918" s="25"/>
      <c r="FH918" s="25"/>
      <c r="FI918" s="25"/>
      <c r="FJ918" s="25"/>
      <c r="FK918" s="25"/>
      <c r="FL918" s="25"/>
      <c r="FM918" s="25"/>
      <c r="FN918" s="25"/>
      <c r="FO918" s="25"/>
      <c r="FP918" s="25"/>
      <c r="FQ918" s="25"/>
      <c r="FR918" s="25"/>
      <c r="FS918" s="25"/>
      <c r="FT918" s="25"/>
      <c r="FU918" s="25"/>
      <c r="FV918" s="28"/>
      <c r="FW918" s="27"/>
      <c r="FX918" s="27"/>
      <c r="FY918" s="25"/>
      <c r="FZ918" s="25"/>
      <c r="GA918" s="25"/>
      <c r="GB918" s="25"/>
      <c r="GC918" s="25"/>
      <c r="GD918" s="25"/>
      <c r="GE918" s="25"/>
      <c r="GF918" s="25"/>
      <c r="GG918" s="25"/>
      <c r="GH918" s="25"/>
      <c r="GI918" s="25"/>
      <c r="GJ918" s="25"/>
      <c r="GK918" s="25"/>
      <c r="GL918" s="25"/>
      <c r="GM918" s="25"/>
      <c r="GN918" s="25"/>
      <c r="GO918" s="25"/>
      <c r="GP918" s="25"/>
      <c r="GQ918" s="25"/>
      <c r="GR918" s="25"/>
      <c r="GS918" s="25"/>
      <c r="GT918" s="25"/>
      <c r="GU918" s="25"/>
      <c r="GV918" s="25"/>
      <c r="GW918" s="25"/>
      <c r="GX918" s="25"/>
      <c r="GY918" s="25"/>
      <c r="GZ918" s="25"/>
      <c r="HA918" s="25"/>
      <c r="HB918" s="25"/>
      <c r="HC918" s="25"/>
      <c r="HD918" s="25"/>
      <c r="HE918" s="25"/>
      <c r="HF918" s="25"/>
      <c r="HG918" s="25"/>
      <c r="HH918" s="25"/>
      <c r="HI918" s="25"/>
      <c r="HJ918" s="25"/>
      <c r="HK918" s="25"/>
      <c r="HL918" s="25"/>
    </row>
    <row r="919" spans="1:220" ht="15.75" customHeight="1" x14ac:dyDescent="0.2">
      <c r="A919" s="25"/>
      <c r="B919" s="29"/>
      <c r="C919" s="26"/>
      <c r="D919" s="29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  <c r="CI919" s="25"/>
      <c r="CJ919" s="25"/>
      <c r="CK919" s="25"/>
      <c r="CL919" s="25"/>
      <c r="CM919" s="25"/>
      <c r="CN919" s="25"/>
      <c r="CO919" s="25"/>
      <c r="CP919" s="25"/>
      <c r="CQ919" s="25"/>
      <c r="CR919" s="25"/>
      <c r="CS919" s="25"/>
      <c r="CT919" s="25"/>
      <c r="CU919" s="25"/>
      <c r="CV919" s="25"/>
      <c r="CW919" s="25"/>
      <c r="CX919" s="25"/>
      <c r="CY919" s="25"/>
      <c r="CZ919" s="25"/>
      <c r="DA919" s="25"/>
      <c r="DB919" s="25"/>
      <c r="DC919" s="25"/>
      <c r="DD919" s="25"/>
      <c r="DE919" s="25"/>
      <c r="DF919" s="25"/>
      <c r="DG919" s="25"/>
      <c r="DH919" s="25"/>
      <c r="DI919" s="25"/>
      <c r="DJ919" s="25"/>
      <c r="DK919" s="25"/>
      <c r="DL919" s="25"/>
      <c r="DM919" s="25"/>
      <c r="DN919" s="25"/>
      <c r="DO919" s="25"/>
      <c r="DP919" s="25"/>
      <c r="DQ919" s="25"/>
      <c r="DR919" s="25"/>
      <c r="DS919" s="25"/>
      <c r="DT919" s="25"/>
      <c r="DU919" s="25"/>
      <c r="DV919" s="25"/>
      <c r="DW919" s="25"/>
      <c r="DX919" s="25"/>
      <c r="DY919" s="25"/>
      <c r="DZ919" s="25"/>
      <c r="EA919" s="25"/>
      <c r="EB919" s="25"/>
      <c r="EC919" s="25"/>
      <c r="ED919" s="25"/>
      <c r="EE919" s="25"/>
      <c r="EF919" s="25"/>
      <c r="EG919" s="25"/>
      <c r="EH919" s="25"/>
      <c r="EI919" s="25"/>
      <c r="EJ919" s="25"/>
      <c r="EK919" s="25"/>
      <c r="EL919" s="25"/>
      <c r="EM919" s="25"/>
      <c r="EN919" s="25"/>
      <c r="EO919" s="25"/>
      <c r="EP919" s="25"/>
      <c r="EQ919" s="25"/>
      <c r="ER919" s="25"/>
      <c r="ES919" s="25"/>
      <c r="ET919" s="25"/>
      <c r="EU919" s="25"/>
      <c r="EV919" s="25"/>
      <c r="EW919" s="25"/>
      <c r="EX919" s="25"/>
      <c r="EY919" s="25"/>
      <c r="EZ919" s="25"/>
      <c r="FA919" s="25"/>
      <c r="FB919" s="25"/>
      <c r="FC919" s="25"/>
      <c r="FD919" s="25"/>
      <c r="FE919" s="25"/>
      <c r="FF919" s="25"/>
      <c r="FG919" s="25"/>
      <c r="FH919" s="25"/>
      <c r="FI919" s="25"/>
      <c r="FJ919" s="25"/>
      <c r="FK919" s="25"/>
      <c r="FL919" s="25"/>
      <c r="FM919" s="25"/>
      <c r="FN919" s="25"/>
      <c r="FO919" s="25"/>
      <c r="FP919" s="25"/>
      <c r="FQ919" s="25"/>
      <c r="FR919" s="25"/>
      <c r="FS919" s="25"/>
      <c r="FT919" s="25"/>
      <c r="FU919" s="25"/>
      <c r="FV919" s="28"/>
      <c r="FW919" s="27"/>
      <c r="FX919" s="27"/>
      <c r="FY919" s="25"/>
      <c r="FZ919" s="25"/>
      <c r="GA919" s="25"/>
      <c r="GB919" s="25"/>
      <c r="GC919" s="25"/>
      <c r="GD919" s="25"/>
      <c r="GE919" s="25"/>
      <c r="GF919" s="25"/>
      <c r="GG919" s="25"/>
      <c r="GH919" s="25"/>
      <c r="GI919" s="25"/>
      <c r="GJ919" s="25"/>
      <c r="GK919" s="25"/>
      <c r="GL919" s="25"/>
      <c r="GM919" s="25"/>
      <c r="GN919" s="25"/>
      <c r="GO919" s="25"/>
      <c r="GP919" s="25"/>
      <c r="GQ919" s="25"/>
      <c r="GR919" s="25"/>
      <c r="GS919" s="25"/>
      <c r="GT919" s="25"/>
      <c r="GU919" s="25"/>
      <c r="GV919" s="25"/>
      <c r="GW919" s="25"/>
      <c r="GX919" s="25"/>
      <c r="GY919" s="25"/>
      <c r="GZ919" s="25"/>
      <c r="HA919" s="25"/>
      <c r="HB919" s="25"/>
      <c r="HC919" s="25"/>
      <c r="HD919" s="25"/>
      <c r="HE919" s="25"/>
      <c r="HF919" s="25"/>
      <c r="HG919" s="25"/>
      <c r="HH919" s="25"/>
      <c r="HI919" s="25"/>
      <c r="HJ919" s="25"/>
      <c r="HK919" s="25"/>
      <c r="HL919" s="25"/>
    </row>
    <row r="920" spans="1:220" ht="15.75" customHeight="1" x14ac:dyDescent="0.2">
      <c r="A920" s="25"/>
      <c r="B920" s="29"/>
      <c r="C920" s="26"/>
      <c r="D920" s="29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  <c r="CZ920" s="25"/>
      <c r="DA920" s="25"/>
      <c r="DB920" s="25"/>
      <c r="DC920" s="25"/>
      <c r="DD920" s="25"/>
      <c r="DE920" s="25"/>
      <c r="DF920" s="25"/>
      <c r="DG920" s="25"/>
      <c r="DH920" s="25"/>
      <c r="DI920" s="25"/>
      <c r="DJ920" s="25"/>
      <c r="DK920" s="25"/>
      <c r="DL920" s="25"/>
      <c r="DM920" s="25"/>
      <c r="DN920" s="25"/>
      <c r="DO920" s="25"/>
      <c r="DP920" s="25"/>
      <c r="DQ920" s="25"/>
      <c r="DR920" s="25"/>
      <c r="DS920" s="25"/>
      <c r="DT920" s="25"/>
      <c r="DU920" s="25"/>
      <c r="DV920" s="25"/>
      <c r="DW920" s="25"/>
      <c r="DX920" s="25"/>
      <c r="DY920" s="25"/>
      <c r="DZ920" s="25"/>
      <c r="EA920" s="25"/>
      <c r="EB920" s="25"/>
      <c r="EC920" s="25"/>
      <c r="ED920" s="25"/>
      <c r="EE920" s="25"/>
      <c r="EF920" s="25"/>
      <c r="EG920" s="25"/>
      <c r="EH920" s="25"/>
      <c r="EI920" s="25"/>
      <c r="EJ920" s="25"/>
      <c r="EK920" s="25"/>
      <c r="EL920" s="25"/>
      <c r="EM920" s="25"/>
      <c r="EN920" s="25"/>
      <c r="EO920" s="25"/>
      <c r="EP920" s="25"/>
      <c r="EQ920" s="25"/>
      <c r="ER920" s="25"/>
      <c r="ES920" s="25"/>
      <c r="ET920" s="25"/>
      <c r="EU920" s="25"/>
      <c r="EV920" s="25"/>
      <c r="EW920" s="25"/>
      <c r="EX920" s="25"/>
      <c r="EY920" s="25"/>
      <c r="EZ920" s="25"/>
      <c r="FA920" s="25"/>
      <c r="FB920" s="25"/>
      <c r="FC920" s="25"/>
      <c r="FD920" s="25"/>
      <c r="FE920" s="25"/>
      <c r="FF920" s="25"/>
      <c r="FG920" s="25"/>
      <c r="FH920" s="25"/>
      <c r="FI920" s="25"/>
      <c r="FJ920" s="25"/>
      <c r="FK920" s="25"/>
      <c r="FL920" s="25"/>
      <c r="FM920" s="25"/>
      <c r="FN920" s="25"/>
      <c r="FO920" s="25"/>
      <c r="FP920" s="25"/>
      <c r="FQ920" s="25"/>
      <c r="FR920" s="25"/>
      <c r="FS920" s="25"/>
      <c r="FT920" s="25"/>
      <c r="FU920" s="25"/>
      <c r="FV920" s="28"/>
      <c r="FW920" s="27"/>
      <c r="FX920" s="27"/>
      <c r="FY920" s="25"/>
      <c r="FZ920" s="25"/>
      <c r="GA920" s="25"/>
      <c r="GB920" s="25"/>
      <c r="GC920" s="25"/>
      <c r="GD920" s="25"/>
      <c r="GE920" s="25"/>
      <c r="GF920" s="25"/>
      <c r="GG920" s="25"/>
      <c r="GH920" s="25"/>
      <c r="GI920" s="25"/>
      <c r="GJ920" s="25"/>
      <c r="GK920" s="25"/>
      <c r="GL920" s="25"/>
      <c r="GM920" s="25"/>
      <c r="GN920" s="25"/>
      <c r="GO920" s="25"/>
      <c r="GP920" s="25"/>
      <c r="GQ920" s="25"/>
      <c r="GR920" s="25"/>
      <c r="GS920" s="25"/>
      <c r="GT920" s="25"/>
      <c r="GU920" s="25"/>
      <c r="GV920" s="25"/>
      <c r="GW920" s="25"/>
      <c r="GX920" s="25"/>
      <c r="GY920" s="25"/>
      <c r="GZ920" s="25"/>
      <c r="HA920" s="25"/>
      <c r="HB920" s="25"/>
      <c r="HC920" s="25"/>
      <c r="HD920" s="25"/>
      <c r="HE920" s="25"/>
      <c r="HF920" s="25"/>
      <c r="HG920" s="25"/>
      <c r="HH920" s="25"/>
      <c r="HI920" s="25"/>
      <c r="HJ920" s="25"/>
      <c r="HK920" s="25"/>
      <c r="HL920" s="25"/>
    </row>
    <row r="921" spans="1:220" ht="15.75" customHeight="1" x14ac:dyDescent="0.2">
      <c r="A921" s="25"/>
      <c r="B921" s="29"/>
      <c r="C921" s="26"/>
      <c r="D921" s="29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  <c r="CI921" s="25"/>
      <c r="CJ921" s="25"/>
      <c r="CK921" s="25"/>
      <c r="CL921" s="25"/>
      <c r="CM921" s="25"/>
      <c r="CN921" s="25"/>
      <c r="CO921" s="25"/>
      <c r="CP921" s="25"/>
      <c r="CQ921" s="25"/>
      <c r="CR921" s="25"/>
      <c r="CS921" s="25"/>
      <c r="CT921" s="25"/>
      <c r="CU921" s="25"/>
      <c r="CV921" s="25"/>
      <c r="CW921" s="25"/>
      <c r="CX921" s="25"/>
      <c r="CY921" s="25"/>
      <c r="CZ921" s="25"/>
      <c r="DA921" s="25"/>
      <c r="DB921" s="25"/>
      <c r="DC921" s="25"/>
      <c r="DD921" s="25"/>
      <c r="DE921" s="25"/>
      <c r="DF921" s="25"/>
      <c r="DG921" s="25"/>
      <c r="DH921" s="25"/>
      <c r="DI921" s="25"/>
      <c r="DJ921" s="25"/>
      <c r="DK921" s="25"/>
      <c r="DL921" s="25"/>
      <c r="DM921" s="25"/>
      <c r="DN921" s="25"/>
      <c r="DO921" s="25"/>
      <c r="DP921" s="25"/>
      <c r="DQ921" s="25"/>
      <c r="DR921" s="25"/>
      <c r="DS921" s="25"/>
      <c r="DT921" s="25"/>
      <c r="DU921" s="25"/>
      <c r="DV921" s="25"/>
      <c r="DW921" s="25"/>
      <c r="DX921" s="25"/>
      <c r="DY921" s="25"/>
      <c r="DZ921" s="25"/>
      <c r="EA921" s="25"/>
      <c r="EB921" s="25"/>
      <c r="EC921" s="25"/>
      <c r="ED921" s="25"/>
      <c r="EE921" s="25"/>
      <c r="EF921" s="25"/>
      <c r="EG921" s="25"/>
      <c r="EH921" s="25"/>
      <c r="EI921" s="25"/>
      <c r="EJ921" s="25"/>
      <c r="EK921" s="25"/>
      <c r="EL921" s="25"/>
      <c r="EM921" s="25"/>
      <c r="EN921" s="25"/>
      <c r="EO921" s="25"/>
      <c r="EP921" s="25"/>
      <c r="EQ921" s="25"/>
      <c r="ER921" s="25"/>
      <c r="ES921" s="25"/>
      <c r="ET921" s="25"/>
      <c r="EU921" s="25"/>
      <c r="EV921" s="25"/>
      <c r="EW921" s="25"/>
      <c r="EX921" s="25"/>
      <c r="EY921" s="25"/>
      <c r="EZ921" s="25"/>
      <c r="FA921" s="25"/>
      <c r="FB921" s="25"/>
      <c r="FC921" s="25"/>
      <c r="FD921" s="25"/>
      <c r="FE921" s="25"/>
      <c r="FF921" s="25"/>
      <c r="FG921" s="25"/>
      <c r="FH921" s="25"/>
      <c r="FI921" s="25"/>
      <c r="FJ921" s="25"/>
      <c r="FK921" s="25"/>
      <c r="FL921" s="25"/>
      <c r="FM921" s="25"/>
      <c r="FN921" s="25"/>
      <c r="FO921" s="25"/>
      <c r="FP921" s="25"/>
      <c r="FQ921" s="25"/>
      <c r="FR921" s="25"/>
      <c r="FS921" s="25"/>
      <c r="FT921" s="25"/>
      <c r="FU921" s="25"/>
      <c r="FV921" s="28"/>
      <c r="FW921" s="27"/>
      <c r="FX921" s="27"/>
      <c r="FY921" s="25"/>
      <c r="FZ921" s="25"/>
      <c r="GA921" s="25"/>
      <c r="GB921" s="25"/>
      <c r="GC921" s="25"/>
      <c r="GD921" s="25"/>
      <c r="GE921" s="25"/>
      <c r="GF921" s="25"/>
      <c r="GG921" s="25"/>
      <c r="GH921" s="25"/>
      <c r="GI921" s="25"/>
      <c r="GJ921" s="25"/>
      <c r="GK921" s="25"/>
      <c r="GL921" s="25"/>
      <c r="GM921" s="25"/>
      <c r="GN921" s="25"/>
      <c r="GO921" s="25"/>
      <c r="GP921" s="25"/>
      <c r="GQ921" s="25"/>
      <c r="GR921" s="25"/>
      <c r="GS921" s="25"/>
      <c r="GT921" s="25"/>
      <c r="GU921" s="25"/>
      <c r="GV921" s="25"/>
      <c r="GW921" s="25"/>
      <c r="GX921" s="25"/>
      <c r="GY921" s="25"/>
      <c r="GZ921" s="25"/>
      <c r="HA921" s="25"/>
      <c r="HB921" s="25"/>
      <c r="HC921" s="25"/>
      <c r="HD921" s="25"/>
      <c r="HE921" s="25"/>
      <c r="HF921" s="25"/>
      <c r="HG921" s="25"/>
      <c r="HH921" s="25"/>
      <c r="HI921" s="25"/>
      <c r="HJ921" s="25"/>
      <c r="HK921" s="25"/>
      <c r="HL921" s="25"/>
    </row>
    <row r="922" spans="1:220" ht="15.75" customHeight="1" x14ac:dyDescent="0.2">
      <c r="A922" s="25"/>
      <c r="B922" s="29"/>
      <c r="C922" s="26"/>
      <c r="D922" s="29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  <c r="CI922" s="25"/>
      <c r="CJ922" s="25"/>
      <c r="CK922" s="25"/>
      <c r="CL922" s="25"/>
      <c r="CM922" s="25"/>
      <c r="CN922" s="25"/>
      <c r="CO922" s="25"/>
      <c r="CP922" s="25"/>
      <c r="CQ922" s="25"/>
      <c r="CR922" s="25"/>
      <c r="CS922" s="25"/>
      <c r="CT922" s="25"/>
      <c r="CU922" s="25"/>
      <c r="CV922" s="25"/>
      <c r="CW922" s="25"/>
      <c r="CX922" s="25"/>
      <c r="CY922" s="25"/>
      <c r="CZ922" s="25"/>
      <c r="DA922" s="25"/>
      <c r="DB922" s="25"/>
      <c r="DC922" s="25"/>
      <c r="DD922" s="25"/>
      <c r="DE922" s="25"/>
      <c r="DF922" s="25"/>
      <c r="DG922" s="25"/>
      <c r="DH922" s="25"/>
      <c r="DI922" s="25"/>
      <c r="DJ922" s="25"/>
      <c r="DK922" s="25"/>
      <c r="DL922" s="25"/>
      <c r="DM922" s="25"/>
      <c r="DN922" s="25"/>
      <c r="DO922" s="25"/>
      <c r="DP922" s="25"/>
      <c r="DQ922" s="25"/>
      <c r="DR922" s="25"/>
      <c r="DS922" s="25"/>
      <c r="DT922" s="25"/>
      <c r="DU922" s="25"/>
      <c r="DV922" s="25"/>
      <c r="DW922" s="25"/>
      <c r="DX922" s="25"/>
      <c r="DY922" s="25"/>
      <c r="DZ922" s="25"/>
      <c r="EA922" s="25"/>
      <c r="EB922" s="25"/>
      <c r="EC922" s="25"/>
      <c r="ED922" s="25"/>
      <c r="EE922" s="25"/>
      <c r="EF922" s="25"/>
      <c r="EG922" s="25"/>
      <c r="EH922" s="25"/>
      <c r="EI922" s="25"/>
      <c r="EJ922" s="25"/>
      <c r="EK922" s="25"/>
      <c r="EL922" s="25"/>
      <c r="EM922" s="25"/>
      <c r="EN922" s="25"/>
      <c r="EO922" s="25"/>
      <c r="EP922" s="25"/>
      <c r="EQ922" s="25"/>
      <c r="ER922" s="25"/>
      <c r="ES922" s="25"/>
      <c r="ET922" s="25"/>
      <c r="EU922" s="25"/>
      <c r="EV922" s="25"/>
      <c r="EW922" s="25"/>
      <c r="EX922" s="25"/>
      <c r="EY922" s="25"/>
      <c r="EZ922" s="25"/>
      <c r="FA922" s="25"/>
      <c r="FB922" s="25"/>
      <c r="FC922" s="25"/>
      <c r="FD922" s="25"/>
      <c r="FE922" s="25"/>
      <c r="FF922" s="25"/>
      <c r="FG922" s="25"/>
      <c r="FH922" s="25"/>
      <c r="FI922" s="25"/>
      <c r="FJ922" s="25"/>
      <c r="FK922" s="25"/>
      <c r="FL922" s="25"/>
      <c r="FM922" s="25"/>
      <c r="FN922" s="25"/>
      <c r="FO922" s="25"/>
      <c r="FP922" s="25"/>
      <c r="FQ922" s="25"/>
      <c r="FR922" s="25"/>
      <c r="FS922" s="25"/>
      <c r="FT922" s="25"/>
      <c r="FU922" s="25"/>
      <c r="FV922" s="28"/>
      <c r="FW922" s="27"/>
      <c r="FX922" s="27"/>
      <c r="FY922" s="25"/>
      <c r="FZ922" s="25"/>
      <c r="GA922" s="25"/>
      <c r="GB922" s="25"/>
      <c r="GC922" s="25"/>
      <c r="GD922" s="25"/>
      <c r="GE922" s="25"/>
      <c r="GF922" s="25"/>
      <c r="GG922" s="25"/>
      <c r="GH922" s="25"/>
      <c r="GI922" s="25"/>
      <c r="GJ922" s="25"/>
      <c r="GK922" s="25"/>
      <c r="GL922" s="25"/>
      <c r="GM922" s="25"/>
      <c r="GN922" s="25"/>
      <c r="GO922" s="25"/>
      <c r="GP922" s="25"/>
      <c r="GQ922" s="25"/>
      <c r="GR922" s="25"/>
      <c r="GS922" s="25"/>
      <c r="GT922" s="25"/>
      <c r="GU922" s="25"/>
      <c r="GV922" s="25"/>
      <c r="GW922" s="25"/>
      <c r="GX922" s="25"/>
      <c r="GY922" s="25"/>
      <c r="GZ922" s="25"/>
      <c r="HA922" s="25"/>
      <c r="HB922" s="25"/>
      <c r="HC922" s="25"/>
      <c r="HD922" s="25"/>
      <c r="HE922" s="25"/>
      <c r="HF922" s="25"/>
      <c r="HG922" s="25"/>
      <c r="HH922" s="25"/>
      <c r="HI922" s="25"/>
      <c r="HJ922" s="25"/>
      <c r="HK922" s="25"/>
      <c r="HL922" s="25"/>
    </row>
    <row r="923" spans="1:220" ht="15.75" customHeight="1" x14ac:dyDescent="0.2">
      <c r="A923" s="25"/>
      <c r="B923" s="29"/>
      <c r="C923" s="26"/>
      <c r="D923" s="29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  <c r="CI923" s="25"/>
      <c r="CJ923" s="25"/>
      <c r="CK923" s="25"/>
      <c r="CL923" s="25"/>
      <c r="CM923" s="25"/>
      <c r="CN923" s="25"/>
      <c r="CO923" s="25"/>
      <c r="CP923" s="25"/>
      <c r="CQ923" s="25"/>
      <c r="CR923" s="25"/>
      <c r="CS923" s="25"/>
      <c r="CT923" s="25"/>
      <c r="CU923" s="25"/>
      <c r="CV923" s="25"/>
      <c r="CW923" s="25"/>
      <c r="CX923" s="25"/>
      <c r="CY923" s="25"/>
      <c r="CZ923" s="25"/>
      <c r="DA923" s="25"/>
      <c r="DB923" s="25"/>
      <c r="DC923" s="25"/>
      <c r="DD923" s="25"/>
      <c r="DE923" s="25"/>
      <c r="DF923" s="25"/>
      <c r="DG923" s="25"/>
      <c r="DH923" s="25"/>
      <c r="DI923" s="25"/>
      <c r="DJ923" s="25"/>
      <c r="DK923" s="25"/>
      <c r="DL923" s="25"/>
      <c r="DM923" s="25"/>
      <c r="DN923" s="25"/>
      <c r="DO923" s="25"/>
      <c r="DP923" s="25"/>
      <c r="DQ923" s="25"/>
      <c r="DR923" s="25"/>
      <c r="DS923" s="25"/>
      <c r="DT923" s="25"/>
      <c r="DU923" s="25"/>
      <c r="DV923" s="25"/>
      <c r="DW923" s="25"/>
      <c r="DX923" s="25"/>
      <c r="DY923" s="25"/>
      <c r="DZ923" s="25"/>
      <c r="EA923" s="25"/>
      <c r="EB923" s="25"/>
      <c r="EC923" s="25"/>
      <c r="ED923" s="25"/>
      <c r="EE923" s="25"/>
      <c r="EF923" s="25"/>
      <c r="EG923" s="25"/>
      <c r="EH923" s="25"/>
      <c r="EI923" s="25"/>
      <c r="EJ923" s="25"/>
      <c r="EK923" s="25"/>
      <c r="EL923" s="25"/>
      <c r="EM923" s="25"/>
      <c r="EN923" s="25"/>
      <c r="EO923" s="25"/>
      <c r="EP923" s="25"/>
      <c r="EQ923" s="25"/>
      <c r="ER923" s="25"/>
      <c r="ES923" s="25"/>
      <c r="ET923" s="25"/>
      <c r="EU923" s="25"/>
      <c r="EV923" s="25"/>
      <c r="EW923" s="25"/>
      <c r="EX923" s="25"/>
      <c r="EY923" s="25"/>
      <c r="EZ923" s="25"/>
      <c r="FA923" s="25"/>
      <c r="FB923" s="25"/>
      <c r="FC923" s="25"/>
      <c r="FD923" s="25"/>
      <c r="FE923" s="25"/>
      <c r="FF923" s="25"/>
      <c r="FG923" s="25"/>
      <c r="FH923" s="25"/>
      <c r="FI923" s="25"/>
      <c r="FJ923" s="25"/>
      <c r="FK923" s="25"/>
      <c r="FL923" s="25"/>
      <c r="FM923" s="25"/>
      <c r="FN923" s="25"/>
      <c r="FO923" s="25"/>
      <c r="FP923" s="25"/>
      <c r="FQ923" s="25"/>
      <c r="FR923" s="25"/>
      <c r="FS923" s="25"/>
      <c r="FT923" s="25"/>
      <c r="FU923" s="25"/>
      <c r="FV923" s="28"/>
      <c r="FW923" s="27"/>
      <c r="FX923" s="27"/>
      <c r="FY923" s="25"/>
      <c r="FZ923" s="25"/>
      <c r="GA923" s="25"/>
      <c r="GB923" s="25"/>
      <c r="GC923" s="25"/>
      <c r="GD923" s="25"/>
      <c r="GE923" s="25"/>
      <c r="GF923" s="25"/>
      <c r="GG923" s="25"/>
      <c r="GH923" s="25"/>
      <c r="GI923" s="25"/>
      <c r="GJ923" s="25"/>
      <c r="GK923" s="25"/>
      <c r="GL923" s="25"/>
      <c r="GM923" s="25"/>
      <c r="GN923" s="25"/>
      <c r="GO923" s="25"/>
      <c r="GP923" s="25"/>
      <c r="GQ923" s="25"/>
      <c r="GR923" s="25"/>
      <c r="GS923" s="25"/>
      <c r="GT923" s="25"/>
      <c r="GU923" s="25"/>
      <c r="GV923" s="25"/>
      <c r="GW923" s="25"/>
      <c r="GX923" s="25"/>
      <c r="GY923" s="25"/>
      <c r="GZ923" s="25"/>
      <c r="HA923" s="25"/>
      <c r="HB923" s="25"/>
      <c r="HC923" s="25"/>
      <c r="HD923" s="25"/>
      <c r="HE923" s="25"/>
      <c r="HF923" s="25"/>
      <c r="HG923" s="25"/>
      <c r="HH923" s="25"/>
      <c r="HI923" s="25"/>
      <c r="HJ923" s="25"/>
      <c r="HK923" s="25"/>
      <c r="HL923" s="25"/>
    </row>
    <row r="924" spans="1:220" ht="15.75" customHeight="1" x14ac:dyDescent="0.2">
      <c r="A924" s="25"/>
      <c r="B924" s="29"/>
      <c r="C924" s="26"/>
      <c r="D924" s="29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  <c r="CI924" s="25"/>
      <c r="CJ924" s="25"/>
      <c r="CK924" s="25"/>
      <c r="CL924" s="25"/>
      <c r="CM924" s="25"/>
      <c r="CN924" s="25"/>
      <c r="CO924" s="25"/>
      <c r="CP924" s="25"/>
      <c r="CQ924" s="25"/>
      <c r="CR924" s="25"/>
      <c r="CS924" s="25"/>
      <c r="CT924" s="25"/>
      <c r="CU924" s="25"/>
      <c r="CV924" s="25"/>
      <c r="CW924" s="25"/>
      <c r="CX924" s="25"/>
      <c r="CY924" s="25"/>
      <c r="CZ924" s="25"/>
      <c r="DA924" s="25"/>
      <c r="DB924" s="25"/>
      <c r="DC924" s="25"/>
      <c r="DD924" s="25"/>
      <c r="DE924" s="25"/>
      <c r="DF924" s="25"/>
      <c r="DG924" s="25"/>
      <c r="DH924" s="25"/>
      <c r="DI924" s="25"/>
      <c r="DJ924" s="25"/>
      <c r="DK924" s="25"/>
      <c r="DL924" s="25"/>
      <c r="DM924" s="25"/>
      <c r="DN924" s="25"/>
      <c r="DO924" s="25"/>
      <c r="DP924" s="25"/>
      <c r="DQ924" s="25"/>
      <c r="DR924" s="25"/>
      <c r="DS924" s="25"/>
      <c r="DT924" s="25"/>
      <c r="DU924" s="25"/>
      <c r="DV924" s="25"/>
      <c r="DW924" s="25"/>
      <c r="DX924" s="25"/>
      <c r="DY924" s="25"/>
      <c r="DZ924" s="25"/>
      <c r="EA924" s="25"/>
      <c r="EB924" s="25"/>
      <c r="EC924" s="25"/>
      <c r="ED924" s="25"/>
      <c r="EE924" s="25"/>
      <c r="EF924" s="25"/>
      <c r="EG924" s="25"/>
      <c r="EH924" s="25"/>
      <c r="EI924" s="25"/>
      <c r="EJ924" s="25"/>
      <c r="EK924" s="25"/>
      <c r="EL924" s="25"/>
      <c r="EM924" s="25"/>
      <c r="EN924" s="25"/>
      <c r="EO924" s="25"/>
      <c r="EP924" s="25"/>
      <c r="EQ924" s="25"/>
      <c r="ER924" s="25"/>
      <c r="ES924" s="25"/>
      <c r="ET924" s="25"/>
      <c r="EU924" s="25"/>
      <c r="EV924" s="25"/>
      <c r="EW924" s="25"/>
      <c r="EX924" s="25"/>
      <c r="EY924" s="25"/>
      <c r="EZ924" s="25"/>
      <c r="FA924" s="25"/>
      <c r="FB924" s="25"/>
      <c r="FC924" s="25"/>
      <c r="FD924" s="25"/>
      <c r="FE924" s="25"/>
      <c r="FF924" s="25"/>
      <c r="FG924" s="25"/>
      <c r="FH924" s="25"/>
      <c r="FI924" s="25"/>
      <c r="FJ924" s="25"/>
      <c r="FK924" s="25"/>
      <c r="FL924" s="25"/>
      <c r="FM924" s="25"/>
      <c r="FN924" s="25"/>
      <c r="FO924" s="25"/>
      <c r="FP924" s="25"/>
      <c r="FQ924" s="25"/>
      <c r="FR924" s="25"/>
      <c r="FS924" s="25"/>
      <c r="FT924" s="25"/>
      <c r="FU924" s="25"/>
      <c r="FV924" s="28"/>
      <c r="FW924" s="27"/>
      <c r="FX924" s="27"/>
      <c r="FY924" s="25"/>
      <c r="FZ924" s="25"/>
      <c r="GA924" s="25"/>
      <c r="GB924" s="25"/>
      <c r="GC924" s="25"/>
      <c r="GD924" s="25"/>
      <c r="GE924" s="25"/>
      <c r="GF924" s="25"/>
      <c r="GG924" s="25"/>
      <c r="GH924" s="25"/>
      <c r="GI924" s="25"/>
      <c r="GJ924" s="25"/>
      <c r="GK924" s="25"/>
      <c r="GL924" s="25"/>
      <c r="GM924" s="25"/>
      <c r="GN924" s="25"/>
      <c r="GO924" s="25"/>
      <c r="GP924" s="25"/>
      <c r="GQ924" s="25"/>
      <c r="GR924" s="25"/>
      <c r="GS924" s="25"/>
      <c r="GT924" s="25"/>
      <c r="GU924" s="25"/>
      <c r="GV924" s="25"/>
      <c r="GW924" s="25"/>
      <c r="GX924" s="25"/>
      <c r="GY924" s="25"/>
      <c r="GZ924" s="25"/>
      <c r="HA924" s="25"/>
      <c r="HB924" s="25"/>
      <c r="HC924" s="25"/>
      <c r="HD924" s="25"/>
      <c r="HE924" s="25"/>
      <c r="HF924" s="25"/>
      <c r="HG924" s="25"/>
      <c r="HH924" s="25"/>
      <c r="HI924" s="25"/>
      <c r="HJ924" s="25"/>
      <c r="HK924" s="25"/>
      <c r="HL924" s="25"/>
    </row>
    <row r="925" spans="1:220" ht="15.75" customHeight="1" x14ac:dyDescent="0.2">
      <c r="A925" s="25"/>
      <c r="B925" s="29"/>
      <c r="C925" s="26"/>
      <c r="D925" s="29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  <c r="CL925" s="25"/>
      <c r="CM925" s="25"/>
      <c r="CN925" s="25"/>
      <c r="CO925" s="25"/>
      <c r="CP925" s="25"/>
      <c r="CQ925" s="25"/>
      <c r="CR925" s="25"/>
      <c r="CS925" s="25"/>
      <c r="CT925" s="25"/>
      <c r="CU925" s="25"/>
      <c r="CV925" s="25"/>
      <c r="CW925" s="25"/>
      <c r="CX925" s="25"/>
      <c r="CY925" s="25"/>
      <c r="CZ925" s="25"/>
      <c r="DA925" s="25"/>
      <c r="DB925" s="25"/>
      <c r="DC925" s="25"/>
      <c r="DD925" s="25"/>
      <c r="DE925" s="25"/>
      <c r="DF925" s="25"/>
      <c r="DG925" s="25"/>
      <c r="DH925" s="25"/>
      <c r="DI925" s="25"/>
      <c r="DJ925" s="25"/>
      <c r="DK925" s="25"/>
      <c r="DL925" s="25"/>
      <c r="DM925" s="25"/>
      <c r="DN925" s="25"/>
      <c r="DO925" s="25"/>
      <c r="DP925" s="25"/>
      <c r="DQ925" s="25"/>
      <c r="DR925" s="25"/>
      <c r="DS925" s="25"/>
      <c r="DT925" s="25"/>
      <c r="DU925" s="25"/>
      <c r="DV925" s="25"/>
      <c r="DW925" s="25"/>
      <c r="DX925" s="25"/>
      <c r="DY925" s="25"/>
      <c r="DZ925" s="25"/>
      <c r="EA925" s="25"/>
      <c r="EB925" s="25"/>
      <c r="EC925" s="25"/>
      <c r="ED925" s="25"/>
      <c r="EE925" s="25"/>
      <c r="EF925" s="25"/>
      <c r="EG925" s="25"/>
      <c r="EH925" s="25"/>
      <c r="EI925" s="25"/>
      <c r="EJ925" s="25"/>
      <c r="EK925" s="25"/>
      <c r="EL925" s="25"/>
      <c r="EM925" s="25"/>
      <c r="EN925" s="25"/>
      <c r="EO925" s="25"/>
      <c r="EP925" s="25"/>
      <c r="EQ925" s="25"/>
      <c r="ER925" s="25"/>
      <c r="ES925" s="25"/>
      <c r="ET925" s="25"/>
      <c r="EU925" s="25"/>
      <c r="EV925" s="25"/>
      <c r="EW925" s="25"/>
      <c r="EX925" s="25"/>
      <c r="EY925" s="25"/>
      <c r="EZ925" s="25"/>
      <c r="FA925" s="25"/>
      <c r="FB925" s="25"/>
      <c r="FC925" s="25"/>
      <c r="FD925" s="25"/>
      <c r="FE925" s="25"/>
      <c r="FF925" s="25"/>
      <c r="FG925" s="25"/>
      <c r="FH925" s="25"/>
      <c r="FI925" s="25"/>
      <c r="FJ925" s="25"/>
      <c r="FK925" s="25"/>
      <c r="FL925" s="25"/>
      <c r="FM925" s="25"/>
      <c r="FN925" s="25"/>
      <c r="FO925" s="25"/>
      <c r="FP925" s="25"/>
      <c r="FQ925" s="25"/>
      <c r="FR925" s="25"/>
      <c r="FS925" s="25"/>
      <c r="FT925" s="25"/>
      <c r="FU925" s="25"/>
      <c r="FV925" s="28"/>
      <c r="FW925" s="27"/>
      <c r="FX925" s="27"/>
      <c r="FY925" s="25"/>
      <c r="FZ925" s="25"/>
      <c r="GA925" s="25"/>
      <c r="GB925" s="25"/>
      <c r="GC925" s="25"/>
      <c r="GD925" s="25"/>
      <c r="GE925" s="25"/>
      <c r="GF925" s="25"/>
      <c r="GG925" s="25"/>
      <c r="GH925" s="25"/>
      <c r="GI925" s="25"/>
      <c r="GJ925" s="25"/>
      <c r="GK925" s="25"/>
      <c r="GL925" s="25"/>
      <c r="GM925" s="25"/>
      <c r="GN925" s="25"/>
      <c r="GO925" s="25"/>
      <c r="GP925" s="25"/>
      <c r="GQ925" s="25"/>
      <c r="GR925" s="25"/>
      <c r="GS925" s="25"/>
      <c r="GT925" s="25"/>
      <c r="GU925" s="25"/>
      <c r="GV925" s="25"/>
      <c r="GW925" s="25"/>
      <c r="GX925" s="25"/>
      <c r="GY925" s="25"/>
      <c r="GZ925" s="25"/>
      <c r="HA925" s="25"/>
      <c r="HB925" s="25"/>
      <c r="HC925" s="25"/>
      <c r="HD925" s="25"/>
      <c r="HE925" s="25"/>
      <c r="HF925" s="25"/>
      <c r="HG925" s="25"/>
      <c r="HH925" s="25"/>
      <c r="HI925" s="25"/>
      <c r="HJ925" s="25"/>
      <c r="HK925" s="25"/>
      <c r="HL925" s="25"/>
    </row>
    <row r="926" spans="1:220" ht="15.75" customHeight="1" x14ac:dyDescent="0.2">
      <c r="A926" s="25"/>
      <c r="B926" s="29"/>
      <c r="C926" s="26"/>
      <c r="D926" s="29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  <c r="CI926" s="25"/>
      <c r="CJ926" s="25"/>
      <c r="CK926" s="25"/>
      <c r="CL926" s="25"/>
      <c r="CM926" s="25"/>
      <c r="CN926" s="25"/>
      <c r="CO926" s="25"/>
      <c r="CP926" s="25"/>
      <c r="CQ926" s="25"/>
      <c r="CR926" s="25"/>
      <c r="CS926" s="25"/>
      <c r="CT926" s="25"/>
      <c r="CU926" s="25"/>
      <c r="CV926" s="25"/>
      <c r="CW926" s="25"/>
      <c r="CX926" s="25"/>
      <c r="CY926" s="25"/>
      <c r="CZ926" s="25"/>
      <c r="DA926" s="25"/>
      <c r="DB926" s="25"/>
      <c r="DC926" s="25"/>
      <c r="DD926" s="25"/>
      <c r="DE926" s="25"/>
      <c r="DF926" s="25"/>
      <c r="DG926" s="25"/>
      <c r="DH926" s="25"/>
      <c r="DI926" s="25"/>
      <c r="DJ926" s="25"/>
      <c r="DK926" s="25"/>
      <c r="DL926" s="25"/>
      <c r="DM926" s="25"/>
      <c r="DN926" s="25"/>
      <c r="DO926" s="25"/>
      <c r="DP926" s="25"/>
      <c r="DQ926" s="25"/>
      <c r="DR926" s="25"/>
      <c r="DS926" s="25"/>
      <c r="DT926" s="25"/>
      <c r="DU926" s="25"/>
      <c r="DV926" s="25"/>
      <c r="DW926" s="25"/>
      <c r="DX926" s="25"/>
      <c r="DY926" s="25"/>
      <c r="DZ926" s="25"/>
      <c r="EA926" s="25"/>
      <c r="EB926" s="25"/>
      <c r="EC926" s="25"/>
      <c r="ED926" s="25"/>
      <c r="EE926" s="25"/>
      <c r="EF926" s="25"/>
      <c r="EG926" s="25"/>
      <c r="EH926" s="25"/>
      <c r="EI926" s="25"/>
      <c r="EJ926" s="25"/>
      <c r="EK926" s="25"/>
      <c r="EL926" s="25"/>
      <c r="EM926" s="25"/>
      <c r="EN926" s="25"/>
      <c r="EO926" s="25"/>
      <c r="EP926" s="25"/>
      <c r="EQ926" s="25"/>
      <c r="ER926" s="25"/>
      <c r="ES926" s="25"/>
      <c r="ET926" s="25"/>
      <c r="EU926" s="25"/>
      <c r="EV926" s="25"/>
      <c r="EW926" s="25"/>
      <c r="EX926" s="25"/>
      <c r="EY926" s="25"/>
      <c r="EZ926" s="25"/>
      <c r="FA926" s="25"/>
      <c r="FB926" s="25"/>
      <c r="FC926" s="25"/>
      <c r="FD926" s="25"/>
      <c r="FE926" s="25"/>
      <c r="FF926" s="25"/>
      <c r="FG926" s="25"/>
      <c r="FH926" s="25"/>
      <c r="FI926" s="25"/>
      <c r="FJ926" s="25"/>
      <c r="FK926" s="25"/>
      <c r="FL926" s="25"/>
      <c r="FM926" s="25"/>
      <c r="FN926" s="25"/>
      <c r="FO926" s="25"/>
      <c r="FP926" s="25"/>
      <c r="FQ926" s="25"/>
      <c r="FR926" s="25"/>
      <c r="FS926" s="25"/>
      <c r="FT926" s="25"/>
      <c r="FU926" s="25"/>
      <c r="FV926" s="28"/>
      <c r="FW926" s="27"/>
      <c r="FX926" s="27"/>
      <c r="FY926" s="25"/>
      <c r="FZ926" s="25"/>
      <c r="GA926" s="25"/>
      <c r="GB926" s="25"/>
      <c r="GC926" s="25"/>
      <c r="GD926" s="25"/>
      <c r="GE926" s="25"/>
      <c r="GF926" s="25"/>
      <c r="GG926" s="25"/>
      <c r="GH926" s="25"/>
      <c r="GI926" s="25"/>
      <c r="GJ926" s="25"/>
      <c r="GK926" s="25"/>
      <c r="GL926" s="25"/>
      <c r="GM926" s="25"/>
      <c r="GN926" s="25"/>
      <c r="GO926" s="25"/>
      <c r="GP926" s="25"/>
      <c r="GQ926" s="25"/>
      <c r="GR926" s="25"/>
      <c r="GS926" s="25"/>
      <c r="GT926" s="25"/>
      <c r="GU926" s="25"/>
      <c r="GV926" s="25"/>
      <c r="GW926" s="25"/>
      <c r="GX926" s="25"/>
      <c r="GY926" s="25"/>
      <c r="GZ926" s="25"/>
      <c r="HA926" s="25"/>
      <c r="HB926" s="25"/>
      <c r="HC926" s="25"/>
      <c r="HD926" s="25"/>
      <c r="HE926" s="25"/>
      <c r="HF926" s="25"/>
      <c r="HG926" s="25"/>
      <c r="HH926" s="25"/>
      <c r="HI926" s="25"/>
      <c r="HJ926" s="25"/>
      <c r="HK926" s="25"/>
      <c r="HL926" s="25"/>
    </row>
    <row r="927" spans="1:220" ht="15.75" customHeight="1" x14ac:dyDescent="0.2">
      <c r="A927" s="25"/>
      <c r="B927" s="29"/>
      <c r="C927" s="26"/>
      <c r="D927" s="29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  <c r="CI927" s="25"/>
      <c r="CJ927" s="25"/>
      <c r="CK927" s="25"/>
      <c r="CL927" s="25"/>
      <c r="CM927" s="25"/>
      <c r="CN927" s="25"/>
      <c r="CO927" s="25"/>
      <c r="CP927" s="25"/>
      <c r="CQ927" s="25"/>
      <c r="CR927" s="25"/>
      <c r="CS927" s="25"/>
      <c r="CT927" s="25"/>
      <c r="CU927" s="25"/>
      <c r="CV927" s="25"/>
      <c r="CW927" s="25"/>
      <c r="CX927" s="25"/>
      <c r="CY927" s="25"/>
      <c r="CZ927" s="25"/>
      <c r="DA927" s="25"/>
      <c r="DB927" s="25"/>
      <c r="DC927" s="25"/>
      <c r="DD927" s="25"/>
      <c r="DE927" s="25"/>
      <c r="DF927" s="25"/>
      <c r="DG927" s="25"/>
      <c r="DH927" s="25"/>
      <c r="DI927" s="25"/>
      <c r="DJ927" s="25"/>
      <c r="DK927" s="25"/>
      <c r="DL927" s="25"/>
      <c r="DM927" s="25"/>
      <c r="DN927" s="25"/>
      <c r="DO927" s="25"/>
      <c r="DP927" s="25"/>
      <c r="DQ927" s="25"/>
      <c r="DR927" s="25"/>
      <c r="DS927" s="25"/>
      <c r="DT927" s="25"/>
      <c r="DU927" s="25"/>
      <c r="DV927" s="25"/>
      <c r="DW927" s="25"/>
      <c r="DX927" s="25"/>
      <c r="DY927" s="25"/>
      <c r="DZ927" s="25"/>
      <c r="EA927" s="25"/>
      <c r="EB927" s="25"/>
      <c r="EC927" s="25"/>
      <c r="ED927" s="25"/>
      <c r="EE927" s="25"/>
      <c r="EF927" s="25"/>
      <c r="EG927" s="25"/>
      <c r="EH927" s="25"/>
      <c r="EI927" s="25"/>
      <c r="EJ927" s="25"/>
      <c r="EK927" s="25"/>
      <c r="EL927" s="25"/>
      <c r="EM927" s="25"/>
      <c r="EN927" s="25"/>
      <c r="EO927" s="25"/>
      <c r="EP927" s="25"/>
      <c r="EQ927" s="25"/>
      <c r="ER927" s="25"/>
      <c r="ES927" s="25"/>
      <c r="ET927" s="25"/>
      <c r="EU927" s="25"/>
      <c r="EV927" s="25"/>
      <c r="EW927" s="25"/>
      <c r="EX927" s="25"/>
      <c r="EY927" s="25"/>
      <c r="EZ927" s="25"/>
      <c r="FA927" s="25"/>
      <c r="FB927" s="25"/>
      <c r="FC927" s="25"/>
      <c r="FD927" s="25"/>
      <c r="FE927" s="25"/>
      <c r="FF927" s="25"/>
      <c r="FG927" s="25"/>
      <c r="FH927" s="25"/>
      <c r="FI927" s="25"/>
      <c r="FJ927" s="25"/>
      <c r="FK927" s="25"/>
      <c r="FL927" s="25"/>
      <c r="FM927" s="25"/>
      <c r="FN927" s="25"/>
      <c r="FO927" s="25"/>
      <c r="FP927" s="25"/>
      <c r="FQ927" s="25"/>
      <c r="FR927" s="25"/>
      <c r="FS927" s="25"/>
      <c r="FT927" s="25"/>
      <c r="FU927" s="25"/>
      <c r="FV927" s="28"/>
      <c r="FW927" s="27"/>
      <c r="FX927" s="27"/>
      <c r="FY927" s="25"/>
      <c r="FZ927" s="25"/>
      <c r="GA927" s="25"/>
      <c r="GB927" s="25"/>
      <c r="GC927" s="25"/>
      <c r="GD927" s="25"/>
      <c r="GE927" s="25"/>
      <c r="GF927" s="25"/>
      <c r="GG927" s="25"/>
      <c r="GH927" s="25"/>
      <c r="GI927" s="25"/>
      <c r="GJ927" s="25"/>
      <c r="GK927" s="25"/>
      <c r="GL927" s="25"/>
      <c r="GM927" s="25"/>
      <c r="GN927" s="25"/>
      <c r="GO927" s="25"/>
      <c r="GP927" s="25"/>
      <c r="GQ927" s="25"/>
      <c r="GR927" s="25"/>
      <c r="GS927" s="25"/>
      <c r="GT927" s="25"/>
      <c r="GU927" s="25"/>
      <c r="GV927" s="25"/>
      <c r="GW927" s="25"/>
      <c r="GX927" s="25"/>
      <c r="GY927" s="25"/>
      <c r="GZ927" s="25"/>
      <c r="HA927" s="25"/>
      <c r="HB927" s="25"/>
      <c r="HC927" s="25"/>
      <c r="HD927" s="25"/>
      <c r="HE927" s="25"/>
      <c r="HF927" s="25"/>
      <c r="HG927" s="25"/>
      <c r="HH927" s="25"/>
      <c r="HI927" s="25"/>
      <c r="HJ927" s="25"/>
      <c r="HK927" s="25"/>
      <c r="HL927" s="25"/>
    </row>
    <row r="928" spans="1:220" ht="15.75" customHeight="1" x14ac:dyDescent="0.2">
      <c r="A928" s="25"/>
      <c r="B928" s="29"/>
      <c r="C928" s="26"/>
      <c r="D928" s="29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  <c r="CI928" s="25"/>
      <c r="CJ928" s="25"/>
      <c r="CK928" s="25"/>
      <c r="CL928" s="25"/>
      <c r="CM928" s="25"/>
      <c r="CN928" s="25"/>
      <c r="CO928" s="25"/>
      <c r="CP928" s="25"/>
      <c r="CQ928" s="25"/>
      <c r="CR928" s="25"/>
      <c r="CS928" s="25"/>
      <c r="CT928" s="25"/>
      <c r="CU928" s="25"/>
      <c r="CV928" s="25"/>
      <c r="CW928" s="25"/>
      <c r="CX928" s="25"/>
      <c r="CY928" s="25"/>
      <c r="CZ928" s="25"/>
      <c r="DA928" s="25"/>
      <c r="DB928" s="25"/>
      <c r="DC928" s="25"/>
      <c r="DD928" s="25"/>
      <c r="DE928" s="25"/>
      <c r="DF928" s="25"/>
      <c r="DG928" s="25"/>
      <c r="DH928" s="25"/>
      <c r="DI928" s="25"/>
      <c r="DJ928" s="25"/>
      <c r="DK928" s="25"/>
      <c r="DL928" s="25"/>
      <c r="DM928" s="25"/>
      <c r="DN928" s="25"/>
      <c r="DO928" s="25"/>
      <c r="DP928" s="25"/>
      <c r="DQ928" s="25"/>
      <c r="DR928" s="25"/>
      <c r="DS928" s="25"/>
      <c r="DT928" s="25"/>
      <c r="DU928" s="25"/>
      <c r="DV928" s="25"/>
      <c r="DW928" s="25"/>
      <c r="DX928" s="25"/>
      <c r="DY928" s="25"/>
      <c r="DZ928" s="25"/>
      <c r="EA928" s="25"/>
      <c r="EB928" s="25"/>
      <c r="EC928" s="25"/>
      <c r="ED928" s="25"/>
      <c r="EE928" s="25"/>
      <c r="EF928" s="25"/>
      <c r="EG928" s="25"/>
      <c r="EH928" s="25"/>
      <c r="EI928" s="25"/>
      <c r="EJ928" s="25"/>
      <c r="EK928" s="25"/>
      <c r="EL928" s="25"/>
      <c r="EM928" s="25"/>
      <c r="EN928" s="25"/>
      <c r="EO928" s="25"/>
      <c r="EP928" s="25"/>
      <c r="EQ928" s="25"/>
      <c r="ER928" s="25"/>
      <c r="ES928" s="25"/>
      <c r="ET928" s="25"/>
      <c r="EU928" s="25"/>
      <c r="EV928" s="25"/>
      <c r="EW928" s="25"/>
      <c r="EX928" s="25"/>
      <c r="EY928" s="25"/>
      <c r="EZ928" s="25"/>
      <c r="FA928" s="25"/>
      <c r="FB928" s="25"/>
      <c r="FC928" s="25"/>
      <c r="FD928" s="25"/>
      <c r="FE928" s="25"/>
      <c r="FF928" s="25"/>
      <c r="FG928" s="25"/>
      <c r="FH928" s="25"/>
      <c r="FI928" s="25"/>
      <c r="FJ928" s="25"/>
      <c r="FK928" s="25"/>
      <c r="FL928" s="25"/>
      <c r="FM928" s="25"/>
      <c r="FN928" s="25"/>
      <c r="FO928" s="25"/>
      <c r="FP928" s="25"/>
      <c r="FQ928" s="25"/>
      <c r="FR928" s="25"/>
      <c r="FS928" s="25"/>
      <c r="FT928" s="25"/>
      <c r="FU928" s="25"/>
      <c r="FV928" s="28"/>
      <c r="FW928" s="27"/>
      <c r="FX928" s="27"/>
      <c r="FY928" s="25"/>
      <c r="FZ928" s="25"/>
      <c r="GA928" s="25"/>
      <c r="GB928" s="25"/>
      <c r="GC928" s="25"/>
      <c r="GD928" s="25"/>
      <c r="GE928" s="25"/>
      <c r="GF928" s="25"/>
      <c r="GG928" s="25"/>
      <c r="GH928" s="25"/>
      <c r="GI928" s="25"/>
      <c r="GJ928" s="25"/>
      <c r="GK928" s="25"/>
      <c r="GL928" s="25"/>
      <c r="GM928" s="25"/>
      <c r="GN928" s="25"/>
      <c r="GO928" s="25"/>
      <c r="GP928" s="25"/>
      <c r="GQ928" s="25"/>
      <c r="GR928" s="25"/>
      <c r="GS928" s="25"/>
      <c r="GT928" s="25"/>
      <c r="GU928" s="25"/>
      <c r="GV928" s="25"/>
      <c r="GW928" s="25"/>
      <c r="GX928" s="25"/>
      <c r="GY928" s="25"/>
      <c r="GZ928" s="25"/>
      <c r="HA928" s="25"/>
      <c r="HB928" s="25"/>
      <c r="HC928" s="25"/>
      <c r="HD928" s="25"/>
      <c r="HE928" s="25"/>
      <c r="HF928" s="25"/>
      <c r="HG928" s="25"/>
      <c r="HH928" s="25"/>
      <c r="HI928" s="25"/>
      <c r="HJ928" s="25"/>
      <c r="HK928" s="25"/>
      <c r="HL928" s="25"/>
    </row>
    <row r="929" spans="1:220" ht="15.75" customHeight="1" x14ac:dyDescent="0.2">
      <c r="A929" s="25"/>
      <c r="B929" s="29"/>
      <c r="C929" s="26"/>
      <c r="D929" s="29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  <c r="CI929" s="25"/>
      <c r="CJ929" s="25"/>
      <c r="CK929" s="25"/>
      <c r="CL929" s="25"/>
      <c r="CM929" s="25"/>
      <c r="CN929" s="25"/>
      <c r="CO929" s="25"/>
      <c r="CP929" s="25"/>
      <c r="CQ929" s="25"/>
      <c r="CR929" s="25"/>
      <c r="CS929" s="25"/>
      <c r="CT929" s="25"/>
      <c r="CU929" s="25"/>
      <c r="CV929" s="25"/>
      <c r="CW929" s="25"/>
      <c r="CX929" s="25"/>
      <c r="CY929" s="25"/>
      <c r="CZ929" s="25"/>
      <c r="DA929" s="25"/>
      <c r="DB929" s="25"/>
      <c r="DC929" s="25"/>
      <c r="DD929" s="25"/>
      <c r="DE929" s="25"/>
      <c r="DF929" s="25"/>
      <c r="DG929" s="25"/>
      <c r="DH929" s="25"/>
      <c r="DI929" s="25"/>
      <c r="DJ929" s="25"/>
      <c r="DK929" s="25"/>
      <c r="DL929" s="25"/>
      <c r="DM929" s="25"/>
      <c r="DN929" s="25"/>
      <c r="DO929" s="25"/>
      <c r="DP929" s="25"/>
      <c r="DQ929" s="25"/>
      <c r="DR929" s="25"/>
      <c r="DS929" s="25"/>
      <c r="DT929" s="25"/>
      <c r="DU929" s="25"/>
      <c r="DV929" s="25"/>
      <c r="DW929" s="25"/>
      <c r="DX929" s="25"/>
      <c r="DY929" s="25"/>
      <c r="DZ929" s="25"/>
      <c r="EA929" s="25"/>
      <c r="EB929" s="25"/>
      <c r="EC929" s="25"/>
      <c r="ED929" s="25"/>
      <c r="EE929" s="25"/>
      <c r="EF929" s="25"/>
      <c r="EG929" s="25"/>
      <c r="EH929" s="25"/>
      <c r="EI929" s="25"/>
      <c r="EJ929" s="25"/>
      <c r="EK929" s="25"/>
      <c r="EL929" s="25"/>
      <c r="EM929" s="25"/>
      <c r="EN929" s="25"/>
      <c r="EO929" s="25"/>
      <c r="EP929" s="25"/>
      <c r="EQ929" s="25"/>
      <c r="ER929" s="25"/>
      <c r="ES929" s="25"/>
      <c r="ET929" s="25"/>
      <c r="EU929" s="25"/>
      <c r="EV929" s="25"/>
      <c r="EW929" s="25"/>
      <c r="EX929" s="25"/>
      <c r="EY929" s="25"/>
      <c r="EZ929" s="25"/>
      <c r="FA929" s="25"/>
      <c r="FB929" s="25"/>
      <c r="FC929" s="25"/>
      <c r="FD929" s="25"/>
      <c r="FE929" s="25"/>
      <c r="FF929" s="25"/>
      <c r="FG929" s="25"/>
      <c r="FH929" s="25"/>
      <c r="FI929" s="25"/>
      <c r="FJ929" s="25"/>
      <c r="FK929" s="25"/>
      <c r="FL929" s="25"/>
      <c r="FM929" s="25"/>
      <c r="FN929" s="25"/>
      <c r="FO929" s="25"/>
      <c r="FP929" s="25"/>
      <c r="FQ929" s="25"/>
      <c r="FR929" s="25"/>
      <c r="FS929" s="25"/>
      <c r="FT929" s="25"/>
      <c r="FU929" s="25"/>
      <c r="FV929" s="28"/>
      <c r="FW929" s="27"/>
      <c r="FX929" s="27"/>
      <c r="FY929" s="25"/>
      <c r="FZ929" s="25"/>
      <c r="GA929" s="25"/>
      <c r="GB929" s="25"/>
      <c r="GC929" s="25"/>
      <c r="GD929" s="25"/>
      <c r="GE929" s="25"/>
      <c r="GF929" s="25"/>
      <c r="GG929" s="25"/>
      <c r="GH929" s="25"/>
      <c r="GI929" s="25"/>
      <c r="GJ929" s="25"/>
      <c r="GK929" s="25"/>
      <c r="GL929" s="25"/>
      <c r="GM929" s="25"/>
      <c r="GN929" s="25"/>
      <c r="GO929" s="25"/>
      <c r="GP929" s="25"/>
      <c r="GQ929" s="25"/>
      <c r="GR929" s="25"/>
      <c r="GS929" s="25"/>
      <c r="GT929" s="25"/>
      <c r="GU929" s="25"/>
      <c r="GV929" s="25"/>
      <c r="GW929" s="25"/>
      <c r="GX929" s="25"/>
      <c r="GY929" s="25"/>
      <c r="GZ929" s="25"/>
      <c r="HA929" s="25"/>
      <c r="HB929" s="25"/>
      <c r="HC929" s="25"/>
      <c r="HD929" s="25"/>
      <c r="HE929" s="25"/>
      <c r="HF929" s="25"/>
      <c r="HG929" s="25"/>
      <c r="HH929" s="25"/>
      <c r="HI929" s="25"/>
      <c r="HJ929" s="25"/>
      <c r="HK929" s="25"/>
      <c r="HL929" s="25"/>
    </row>
    <row r="930" spans="1:220" ht="15.75" customHeight="1" x14ac:dyDescent="0.2">
      <c r="A930" s="25"/>
      <c r="B930" s="29"/>
      <c r="C930" s="26"/>
      <c r="D930" s="29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  <c r="CI930" s="25"/>
      <c r="CJ930" s="25"/>
      <c r="CK930" s="25"/>
      <c r="CL930" s="25"/>
      <c r="CM930" s="25"/>
      <c r="CN930" s="25"/>
      <c r="CO930" s="25"/>
      <c r="CP930" s="25"/>
      <c r="CQ930" s="25"/>
      <c r="CR930" s="25"/>
      <c r="CS930" s="25"/>
      <c r="CT930" s="25"/>
      <c r="CU930" s="25"/>
      <c r="CV930" s="25"/>
      <c r="CW930" s="25"/>
      <c r="CX930" s="25"/>
      <c r="CY930" s="25"/>
      <c r="CZ930" s="25"/>
      <c r="DA930" s="25"/>
      <c r="DB930" s="25"/>
      <c r="DC930" s="25"/>
      <c r="DD930" s="25"/>
      <c r="DE930" s="25"/>
      <c r="DF930" s="25"/>
      <c r="DG930" s="25"/>
      <c r="DH930" s="25"/>
      <c r="DI930" s="25"/>
      <c r="DJ930" s="25"/>
      <c r="DK930" s="25"/>
      <c r="DL930" s="25"/>
      <c r="DM930" s="25"/>
      <c r="DN930" s="25"/>
      <c r="DO930" s="25"/>
      <c r="DP930" s="25"/>
      <c r="DQ930" s="25"/>
      <c r="DR930" s="25"/>
      <c r="DS930" s="25"/>
      <c r="DT930" s="25"/>
      <c r="DU930" s="25"/>
      <c r="DV930" s="25"/>
      <c r="DW930" s="25"/>
      <c r="DX930" s="25"/>
      <c r="DY930" s="25"/>
      <c r="DZ930" s="25"/>
      <c r="EA930" s="25"/>
      <c r="EB930" s="25"/>
      <c r="EC930" s="25"/>
      <c r="ED930" s="25"/>
      <c r="EE930" s="25"/>
      <c r="EF930" s="25"/>
      <c r="EG930" s="25"/>
      <c r="EH930" s="25"/>
      <c r="EI930" s="25"/>
      <c r="EJ930" s="25"/>
      <c r="EK930" s="25"/>
      <c r="EL930" s="25"/>
      <c r="EM930" s="25"/>
      <c r="EN930" s="25"/>
      <c r="EO930" s="25"/>
      <c r="EP930" s="25"/>
      <c r="EQ930" s="25"/>
      <c r="ER930" s="25"/>
      <c r="ES930" s="25"/>
      <c r="ET930" s="25"/>
      <c r="EU930" s="25"/>
      <c r="EV930" s="25"/>
      <c r="EW930" s="25"/>
      <c r="EX930" s="25"/>
      <c r="EY930" s="25"/>
      <c r="EZ930" s="25"/>
      <c r="FA930" s="25"/>
      <c r="FB930" s="25"/>
      <c r="FC930" s="25"/>
      <c r="FD930" s="25"/>
      <c r="FE930" s="25"/>
      <c r="FF930" s="25"/>
      <c r="FG930" s="25"/>
      <c r="FH930" s="25"/>
      <c r="FI930" s="25"/>
      <c r="FJ930" s="25"/>
      <c r="FK930" s="25"/>
      <c r="FL930" s="25"/>
      <c r="FM930" s="25"/>
      <c r="FN930" s="25"/>
      <c r="FO930" s="25"/>
      <c r="FP930" s="25"/>
      <c r="FQ930" s="25"/>
      <c r="FR930" s="25"/>
      <c r="FS930" s="25"/>
      <c r="FT930" s="25"/>
      <c r="FU930" s="25"/>
      <c r="FV930" s="28"/>
      <c r="FW930" s="27"/>
      <c r="FX930" s="27"/>
      <c r="FY930" s="25"/>
      <c r="FZ930" s="25"/>
      <c r="GA930" s="25"/>
      <c r="GB930" s="25"/>
      <c r="GC930" s="25"/>
      <c r="GD930" s="25"/>
      <c r="GE930" s="25"/>
      <c r="GF930" s="25"/>
      <c r="GG930" s="25"/>
      <c r="GH930" s="25"/>
      <c r="GI930" s="25"/>
      <c r="GJ930" s="25"/>
      <c r="GK930" s="25"/>
      <c r="GL930" s="25"/>
      <c r="GM930" s="25"/>
      <c r="GN930" s="25"/>
      <c r="GO930" s="25"/>
      <c r="GP930" s="25"/>
      <c r="GQ930" s="25"/>
      <c r="GR930" s="25"/>
      <c r="GS930" s="25"/>
      <c r="GT930" s="25"/>
      <c r="GU930" s="25"/>
      <c r="GV930" s="25"/>
      <c r="GW930" s="25"/>
      <c r="GX930" s="25"/>
      <c r="GY930" s="25"/>
      <c r="GZ930" s="25"/>
      <c r="HA930" s="25"/>
      <c r="HB930" s="25"/>
      <c r="HC930" s="25"/>
      <c r="HD930" s="25"/>
      <c r="HE930" s="25"/>
      <c r="HF930" s="25"/>
      <c r="HG930" s="25"/>
      <c r="HH930" s="25"/>
      <c r="HI930" s="25"/>
      <c r="HJ930" s="25"/>
      <c r="HK930" s="25"/>
      <c r="HL930" s="25"/>
    </row>
    <row r="931" spans="1:220" ht="15.75" customHeight="1" x14ac:dyDescent="0.2">
      <c r="A931" s="25"/>
      <c r="B931" s="29"/>
      <c r="C931" s="26"/>
      <c r="D931" s="29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  <c r="CI931" s="25"/>
      <c r="CJ931" s="25"/>
      <c r="CK931" s="25"/>
      <c r="CL931" s="25"/>
      <c r="CM931" s="25"/>
      <c r="CN931" s="25"/>
      <c r="CO931" s="25"/>
      <c r="CP931" s="25"/>
      <c r="CQ931" s="25"/>
      <c r="CR931" s="25"/>
      <c r="CS931" s="25"/>
      <c r="CT931" s="25"/>
      <c r="CU931" s="25"/>
      <c r="CV931" s="25"/>
      <c r="CW931" s="25"/>
      <c r="CX931" s="25"/>
      <c r="CY931" s="25"/>
      <c r="CZ931" s="25"/>
      <c r="DA931" s="25"/>
      <c r="DB931" s="25"/>
      <c r="DC931" s="25"/>
      <c r="DD931" s="25"/>
      <c r="DE931" s="25"/>
      <c r="DF931" s="25"/>
      <c r="DG931" s="25"/>
      <c r="DH931" s="25"/>
      <c r="DI931" s="25"/>
      <c r="DJ931" s="25"/>
      <c r="DK931" s="25"/>
      <c r="DL931" s="25"/>
      <c r="DM931" s="25"/>
      <c r="DN931" s="25"/>
      <c r="DO931" s="25"/>
      <c r="DP931" s="25"/>
      <c r="DQ931" s="25"/>
      <c r="DR931" s="25"/>
      <c r="DS931" s="25"/>
      <c r="DT931" s="25"/>
      <c r="DU931" s="25"/>
      <c r="DV931" s="25"/>
      <c r="DW931" s="25"/>
      <c r="DX931" s="25"/>
      <c r="DY931" s="25"/>
      <c r="DZ931" s="25"/>
      <c r="EA931" s="25"/>
      <c r="EB931" s="25"/>
      <c r="EC931" s="25"/>
      <c r="ED931" s="25"/>
      <c r="EE931" s="25"/>
      <c r="EF931" s="25"/>
      <c r="EG931" s="25"/>
      <c r="EH931" s="25"/>
      <c r="EI931" s="25"/>
      <c r="EJ931" s="25"/>
      <c r="EK931" s="25"/>
      <c r="EL931" s="25"/>
      <c r="EM931" s="25"/>
      <c r="EN931" s="25"/>
      <c r="EO931" s="25"/>
      <c r="EP931" s="25"/>
      <c r="EQ931" s="25"/>
      <c r="ER931" s="25"/>
      <c r="ES931" s="25"/>
      <c r="ET931" s="25"/>
      <c r="EU931" s="25"/>
      <c r="EV931" s="25"/>
      <c r="EW931" s="25"/>
      <c r="EX931" s="25"/>
      <c r="EY931" s="25"/>
      <c r="EZ931" s="25"/>
      <c r="FA931" s="25"/>
      <c r="FB931" s="25"/>
      <c r="FC931" s="25"/>
      <c r="FD931" s="25"/>
      <c r="FE931" s="25"/>
      <c r="FF931" s="25"/>
      <c r="FG931" s="25"/>
      <c r="FH931" s="25"/>
      <c r="FI931" s="25"/>
      <c r="FJ931" s="25"/>
      <c r="FK931" s="25"/>
      <c r="FL931" s="25"/>
      <c r="FM931" s="25"/>
      <c r="FN931" s="25"/>
      <c r="FO931" s="25"/>
      <c r="FP931" s="25"/>
      <c r="FQ931" s="25"/>
      <c r="FR931" s="25"/>
      <c r="FS931" s="25"/>
      <c r="FT931" s="25"/>
      <c r="FU931" s="25"/>
      <c r="FV931" s="28"/>
      <c r="FW931" s="27"/>
      <c r="FX931" s="27"/>
      <c r="FY931" s="25"/>
      <c r="FZ931" s="25"/>
      <c r="GA931" s="25"/>
      <c r="GB931" s="25"/>
      <c r="GC931" s="25"/>
      <c r="GD931" s="25"/>
      <c r="GE931" s="25"/>
      <c r="GF931" s="25"/>
      <c r="GG931" s="25"/>
      <c r="GH931" s="25"/>
      <c r="GI931" s="25"/>
      <c r="GJ931" s="25"/>
      <c r="GK931" s="25"/>
      <c r="GL931" s="25"/>
      <c r="GM931" s="25"/>
      <c r="GN931" s="25"/>
      <c r="GO931" s="25"/>
      <c r="GP931" s="25"/>
      <c r="GQ931" s="25"/>
      <c r="GR931" s="25"/>
      <c r="GS931" s="25"/>
      <c r="GT931" s="25"/>
      <c r="GU931" s="25"/>
      <c r="GV931" s="25"/>
      <c r="GW931" s="25"/>
      <c r="GX931" s="25"/>
      <c r="GY931" s="25"/>
      <c r="GZ931" s="25"/>
      <c r="HA931" s="25"/>
      <c r="HB931" s="25"/>
      <c r="HC931" s="25"/>
      <c r="HD931" s="25"/>
      <c r="HE931" s="25"/>
      <c r="HF931" s="25"/>
      <c r="HG931" s="25"/>
      <c r="HH931" s="25"/>
      <c r="HI931" s="25"/>
      <c r="HJ931" s="25"/>
      <c r="HK931" s="25"/>
      <c r="HL931" s="25"/>
    </row>
    <row r="932" spans="1:220" ht="15.75" customHeight="1" x14ac:dyDescent="0.2">
      <c r="A932" s="25"/>
      <c r="B932" s="29"/>
      <c r="C932" s="26"/>
      <c r="D932" s="29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  <c r="CI932" s="25"/>
      <c r="CJ932" s="25"/>
      <c r="CK932" s="25"/>
      <c r="CL932" s="25"/>
      <c r="CM932" s="25"/>
      <c r="CN932" s="25"/>
      <c r="CO932" s="25"/>
      <c r="CP932" s="25"/>
      <c r="CQ932" s="25"/>
      <c r="CR932" s="25"/>
      <c r="CS932" s="25"/>
      <c r="CT932" s="25"/>
      <c r="CU932" s="25"/>
      <c r="CV932" s="25"/>
      <c r="CW932" s="25"/>
      <c r="CX932" s="25"/>
      <c r="CY932" s="25"/>
      <c r="CZ932" s="25"/>
      <c r="DA932" s="25"/>
      <c r="DB932" s="25"/>
      <c r="DC932" s="25"/>
      <c r="DD932" s="25"/>
      <c r="DE932" s="25"/>
      <c r="DF932" s="25"/>
      <c r="DG932" s="25"/>
      <c r="DH932" s="25"/>
      <c r="DI932" s="25"/>
      <c r="DJ932" s="25"/>
      <c r="DK932" s="25"/>
      <c r="DL932" s="25"/>
      <c r="DM932" s="25"/>
      <c r="DN932" s="25"/>
      <c r="DO932" s="25"/>
      <c r="DP932" s="25"/>
      <c r="DQ932" s="25"/>
      <c r="DR932" s="25"/>
      <c r="DS932" s="25"/>
      <c r="DT932" s="25"/>
      <c r="DU932" s="25"/>
      <c r="DV932" s="25"/>
      <c r="DW932" s="25"/>
      <c r="DX932" s="25"/>
      <c r="DY932" s="25"/>
      <c r="DZ932" s="25"/>
      <c r="EA932" s="25"/>
      <c r="EB932" s="25"/>
      <c r="EC932" s="25"/>
      <c r="ED932" s="25"/>
      <c r="EE932" s="25"/>
      <c r="EF932" s="25"/>
      <c r="EG932" s="25"/>
      <c r="EH932" s="25"/>
      <c r="EI932" s="25"/>
      <c r="EJ932" s="25"/>
      <c r="EK932" s="25"/>
      <c r="EL932" s="25"/>
      <c r="EM932" s="25"/>
      <c r="EN932" s="25"/>
      <c r="EO932" s="25"/>
      <c r="EP932" s="25"/>
      <c r="EQ932" s="25"/>
      <c r="ER932" s="25"/>
      <c r="ES932" s="25"/>
      <c r="ET932" s="25"/>
      <c r="EU932" s="25"/>
      <c r="EV932" s="25"/>
      <c r="EW932" s="25"/>
      <c r="EX932" s="25"/>
      <c r="EY932" s="25"/>
      <c r="EZ932" s="25"/>
      <c r="FA932" s="25"/>
      <c r="FB932" s="25"/>
      <c r="FC932" s="25"/>
      <c r="FD932" s="25"/>
      <c r="FE932" s="25"/>
      <c r="FF932" s="25"/>
      <c r="FG932" s="25"/>
      <c r="FH932" s="25"/>
      <c r="FI932" s="25"/>
      <c r="FJ932" s="25"/>
      <c r="FK932" s="25"/>
      <c r="FL932" s="25"/>
      <c r="FM932" s="25"/>
      <c r="FN932" s="25"/>
      <c r="FO932" s="25"/>
      <c r="FP932" s="25"/>
      <c r="FQ932" s="25"/>
      <c r="FR932" s="25"/>
      <c r="FS932" s="25"/>
      <c r="FT932" s="25"/>
      <c r="FU932" s="25"/>
      <c r="FV932" s="28"/>
      <c r="FW932" s="27"/>
      <c r="FX932" s="27"/>
      <c r="FY932" s="25"/>
      <c r="FZ932" s="25"/>
      <c r="GA932" s="25"/>
      <c r="GB932" s="25"/>
      <c r="GC932" s="25"/>
      <c r="GD932" s="25"/>
      <c r="GE932" s="25"/>
      <c r="GF932" s="25"/>
      <c r="GG932" s="25"/>
      <c r="GH932" s="25"/>
      <c r="GI932" s="25"/>
      <c r="GJ932" s="25"/>
      <c r="GK932" s="25"/>
      <c r="GL932" s="25"/>
      <c r="GM932" s="25"/>
      <c r="GN932" s="25"/>
      <c r="GO932" s="25"/>
      <c r="GP932" s="25"/>
      <c r="GQ932" s="25"/>
      <c r="GR932" s="25"/>
      <c r="GS932" s="25"/>
      <c r="GT932" s="25"/>
      <c r="GU932" s="25"/>
      <c r="GV932" s="25"/>
      <c r="GW932" s="25"/>
      <c r="GX932" s="25"/>
      <c r="GY932" s="25"/>
      <c r="GZ932" s="25"/>
      <c r="HA932" s="25"/>
      <c r="HB932" s="25"/>
      <c r="HC932" s="25"/>
      <c r="HD932" s="25"/>
      <c r="HE932" s="25"/>
      <c r="HF932" s="25"/>
      <c r="HG932" s="25"/>
      <c r="HH932" s="25"/>
      <c r="HI932" s="25"/>
      <c r="HJ932" s="25"/>
      <c r="HK932" s="25"/>
      <c r="HL932" s="25"/>
    </row>
    <row r="933" spans="1:220" ht="15.75" customHeight="1" x14ac:dyDescent="0.2">
      <c r="A933" s="25"/>
      <c r="B933" s="29"/>
      <c r="C933" s="26"/>
      <c r="D933" s="29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  <c r="CI933" s="25"/>
      <c r="CJ933" s="25"/>
      <c r="CK933" s="25"/>
      <c r="CL933" s="25"/>
      <c r="CM933" s="25"/>
      <c r="CN933" s="25"/>
      <c r="CO933" s="25"/>
      <c r="CP933" s="25"/>
      <c r="CQ933" s="25"/>
      <c r="CR933" s="25"/>
      <c r="CS933" s="25"/>
      <c r="CT933" s="25"/>
      <c r="CU933" s="25"/>
      <c r="CV933" s="25"/>
      <c r="CW933" s="25"/>
      <c r="CX933" s="25"/>
      <c r="CY933" s="25"/>
      <c r="CZ933" s="25"/>
      <c r="DA933" s="25"/>
      <c r="DB933" s="25"/>
      <c r="DC933" s="25"/>
      <c r="DD933" s="25"/>
      <c r="DE933" s="25"/>
      <c r="DF933" s="25"/>
      <c r="DG933" s="25"/>
      <c r="DH933" s="25"/>
      <c r="DI933" s="25"/>
      <c r="DJ933" s="25"/>
      <c r="DK933" s="25"/>
      <c r="DL933" s="25"/>
      <c r="DM933" s="25"/>
      <c r="DN933" s="25"/>
      <c r="DO933" s="25"/>
      <c r="DP933" s="25"/>
      <c r="DQ933" s="25"/>
      <c r="DR933" s="25"/>
      <c r="DS933" s="25"/>
      <c r="DT933" s="25"/>
      <c r="DU933" s="25"/>
      <c r="DV933" s="25"/>
      <c r="DW933" s="25"/>
      <c r="DX933" s="25"/>
      <c r="DY933" s="25"/>
      <c r="DZ933" s="25"/>
      <c r="EA933" s="25"/>
      <c r="EB933" s="25"/>
      <c r="EC933" s="25"/>
      <c r="ED933" s="25"/>
      <c r="EE933" s="25"/>
      <c r="EF933" s="25"/>
      <c r="EG933" s="25"/>
      <c r="EH933" s="25"/>
      <c r="EI933" s="25"/>
      <c r="EJ933" s="25"/>
      <c r="EK933" s="25"/>
      <c r="EL933" s="25"/>
      <c r="EM933" s="25"/>
      <c r="EN933" s="25"/>
      <c r="EO933" s="25"/>
      <c r="EP933" s="25"/>
      <c r="EQ933" s="25"/>
      <c r="ER933" s="25"/>
      <c r="ES933" s="25"/>
      <c r="ET933" s="25"/>
      <c r="EU933" s="25"/>
      <c r="EV933" s="25"/>
      <c r="EW933" s="25"/>
      <c r="EX933" s="25"/>
      <c r="EY933" s="25"/>
      <c r="EZ933" s="25"/>
      <c r="FA933" s="25"/>
      <c r="FB933" s="25"/>
      <c r="FC933" s="25"/>
      <c r="FD933" s="25"/>
      <c r="FE933" s="25"/>
      <c r="FF933" s="25"/>
      <c r="FG933" s="25"/>
      <c r="FH933" s="25"/>
      <c r="FI933" s="25"/>
      <c r="FJ933" s="25"/>
      <c r="FK933" s="25"/>
      <c r="FL933" s="25"/>
      <c r="FM933" s="25"/>
      <c r="FN933" s="25"/>
      <c r="FO933" s="25"/>
      <c r="FP933" s="25"/>
      <c r="FQ933" s="25"/>
      <c r="FR933" s="25"/>
      <c r="FS933" s="25"/>
      <c r="FT933" s="25"/>
      <c r="FU933" s="25"/>
      <c r="FV933" s="28"/>
      <c r="FW933" s="27"/>
      <c r="FX933" s="27"/>
      <c r="FY933" s="25"/>
      <c r="FZ933" s="25"/>
      <c r="GA933" s="25"/>
      <c r="GB933" s="25"/>
      <c r="GC933" s="25"/>
      <c r="GD933" s="25"/>
      <c r="GE933" s="25"/>
      <c r="GF933" s="25"/>
      <c r="GG933" s="25"/>
      <c r="GH933" s="25"/>
      <c r="GI933" s="25"/>
      <c r="GJ933" s="25"/>
      <c r="GK933" s="25"/>
      <c r="GL933" s="25"/>
      <c r="GM933" s="25"/>
      <c r="GN933" s="25"/>
      <c r="GO933" s="25"/>
      <c r="GP933" s="25"/>
      <c r="GQ933" s="25"/>
      <c r="GR933" s="25"/>
      <c r="GS933" s="25"/>
      <c r="GT933" s="25"/>
      <c r="GU933" s="25"/>
      <c r="GV933" s="25"/>
      <c r="GW933" s="25"/>
      <c r="GX933" s="25"/>
      <c r="GY933" s="25"/>
      <c r="GZ933" s="25"/>
      <c r="HA933" s="25"/>
      <c r="HB933" s="25"/>
      <c r="HC933" s="25"/>
      <c r="HD933" s="25"/>
      <c r="HE933" s="25"/>
      <c r="HF933" s="25"/>
      <c r="HG933" s="25"/>
      <c r="HH933" s="25"/>
      <c r="HI933" s="25"/>
      <c r="HJ933" s="25"/>
      <c r="HK933" s="25"/>
      <c r="HL933" s="25"/>
    </row>
    <row r="934" spans="1:220" ht="15.75" customHeight="1" x14ac:dyDescent="0.2">
      <c r="A934" s="25"/>
      <c r="B934" s="29"/>
      <c r="C934" s="26"/>
      <c r="D934" s="29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  <c r="CC934" s="25"/>
      <c r="CD934" s="25"/>
      <c r="CE934" s="25"/>
      <c r="CF934" s="25"/>
      <c r="CG934" s="25"/>
      <c r="CH934" s="25"/>
      <c r="CI934" s="25"/>
      <c r="CJ934" s="25"/>
      <c r="CK934" s="25"/>
      <c r="CL934" s="25"/>
      <c r="CM934" s="25"/>
      <c r="CN934" s="25"/>
      <c r="CO934" s="25"/>
      <c r="CP934" s="25"/>
      <c r="CQ934" s="25"/>
      <c r="CR934" s="25"/>
      <c r="CS934" s="25"/>
      <c r="CT934" s="25"/>
      <c r="CU934" s="25"/>
      <c r="CV934" s="25"/>
      <c r="CW934" s="25"/>
      <c r="CX934" s="25"/>
      <c r="CY934" s="25"/>
      <c r="CZ934" s="25"/>
      <c r="DA934" s="25"/>
      <c r="DB934" s="25"/>
      <c r="DC934" s="25"/>
      <c r="DD934" s="25"/>
      <c r="DE934" s="25"/>
      <c r="DF934" s="25"/>
      <c r="DG934" s="25"/>
      <c r="DH934" s="25"/>
      <c r="DI934" s="25"/>
      <c r="DJ934" s="25"/>
      <c r="DK934" s="25"/>
      <c r="DL934" s="25"/>
      <c r="DM934" s="25"/>
      <c r="DN934" s="25"/>
      <c r="DO934" s="25"/>
      <c r="DP934" s="25"/>
      <c r="DQ934" s="25"/>
      <c r="DR934" s="25"/>
      <c r="DS934" s="25"/>
      <c r="DT934" s="25"/>
      <c r="DU934" s="25"/>
      <c r="DV934" s="25"/>
      <c r="DW934" s="25"/>
      <c r="DX934" s="25"/>
      <c r="DY934" s="25"/>
      <c r="DZ934" s="25"/>
      <c r="EA934" s="25"/>
      <c r="EB934" s="25"/>
      <c r="EC934" s="25"/>
      <c r="ED934" s="25"/>
      <c r="EE934" s="25"/>
      <c r="EF934" s="25"/>
      <c r="EG934" s="25"/>
      <c r="EH934" s="25"/>
      <c r="EI934" s="25"/>
      <c r="EJ934" s="25"/>
      <c r="EK934" s="25"/>
      <c r="EL934" s="25"/>
      <c r="EM934" s="25"/>
      <c r="EN934" s="25"/>
      <c r="EO934" s="25"/>
      <c r="EP934" s="25"/>
      <c r="EQ934" s="25"/>
      <c r="ER934" s="25"/>
      <c r="ES934" s="25"/>
      <c r="ET934" s="25"/>
      <c r="EU934" s="25"/>
      <c r="EV934" s="25"/>
      <c r="EW934" s="25"/>
      <c r="EX934" s="25"/>
      <c r="EY934" s="25"/>
      <c r="EZ934" s="25"/>
      <c r="FA934" s="25"/>
      <c r="FB934" s="25"/>
      <c r="FC934" s="25"/>
      <c r="FD934" s="25"/>
      <c r="FE934" s="25"/>
      <c r="FF934" s="25"/>
      <c r="FG934" s="25"/>
      <c r="FH934" s="25"/>
      <c r="FI934" s="25"/>
      <c r="FJ934" s="25"/>
      <c r="FK934" s="25"/>
      <c r="FL934" s="25"/>
      <c r="FM934" s="25"/>
      <c r="FN934" s="25"/>
      <c r="FO934" s="25"/>
      <c r="FP934" s="25"/>
      <c r="FQ934" s="25"/>
      <c r="FR934" s="25"/>
      <c r="FS934" s="25"/>
      <c r="FT934" s="25"/>
      <c r="FU934" s="25"/>
      <c r="FV934" s="28"/>
      <c r="FW934" s="27"/>
      <c r="FX934" s="27"/>
      <c r="FY934" s="25"/>
      <c r="FZ934" s="25"/>
      <c r="GA934" s="25"/>
      <c r="GB934" s="25"/>
      <c r="GC934" s="25"/>
      <c r="GD934" s="25"/>
      <c r="GE934" s="25"/>
      <c r="GF934" s="25"/>
      <c r="GG934" s="25"/>
      <c r="GH934" s="25"/>
      <c r="GI934" s="25"/>
      <c r="GJ934" s="25"/>
      <c r="GK934" s="25"/>
      <c r="GL934" s="25"/>
      <c r="GM934" s="25"/>
      <c r="GN934" s="25"/>
      <c r="GO934" s="25"/>
      <c r="GP934" s="25"/>
      <c r="GQ934" s="25"/>
      <c r="GR934" s="25"/>
      <c r="GS934" s="25"/>
      <c r="GT934" s="25"/>
      <c r="GU934" s="25"/>
      <c r="GV934" s="25"/>
      <c r="GW934" s="25"/>
      <c r="GX934" s="25"/>
      <c r="GY934" s="25"/>
      <c r="GZ934" s="25"/>
      <c r="HA934" s="25"/>
      <c r="HB934" s="25"/>
      <c r="HC934" s="25"/>
      <c r="HD934" s="25"/>
      <c r="HE934" s="25"/>
      <c r="HF934" s="25"/>
      <c r="HG934" s="25"/>
      <c r="HH934" s="25"/>
      <c r="HI934" s="25"/>
      <c r="HJ934" s="25"/>
      <c r="HK934" s="25"/>
      <c r="HL934" s="25"/>
    </row>
    <row r="935" spans="1:220" ht="15.75" customHeight="1" x14ac:dyDescent="0.2">
      <c r="A935" s="25"/>
      <c r="B935" s="29"/>
      <c r="C935" s="26"/>
      <c r="D935" s="29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  <c r="CI935" s="25"/>
      <c r="CJ935" s="25"/>
      <c r="CK935" s="25"/>
      <c r="CL935" s="25"/>
      <c r="CM935" s="25"/>
      <c r="CN935" s="25"/>
      <c r="CO935" s="25"/>
      <c r="CP935" s="25"/>
      <c r="CQ935" s="25"/>
      <c r="CR935" s="25"/>
      <c r="CS935" s="25"/>
      <c r="CT935" s="25"/>
      <c r="CU935" s="25"/>
      <c r="CV935" s="25"/>
      <c r="CW935" s="25"/>
      <c r="CX935" s="25"/>
      <c r="CY935" s="25"/>
      <c r="CZ935" s="25"/>
      <c r="DA935" s="25"/>
      <c r="DB935" s="25"/>
      <c r="DC935" s="25"/>
      <c r="DD935" s="25"/>
      <c r="DE935" s="25"/>
      <c r="DF935" s="25"/>
      <c r="DG935" s="25"/>
      <c r="DH935" s="25"/>
      <c r="DI935" s="25"/>
      <c r="DJ935" s="25"/>
      <c r="DK935" s="25"/>
      <c r="DL935" s="25"/>
      <c r="DM935" s="25"/>
      <c r="DN935" s="25"/>
      <c r="DO935" s="25"/>
      <c r="DP935" s="25"/>
      <c r="DQ935" s="25"/>
      <c r="DR935" s="25"/>
      <c r="DS935" s="25"/>
      <c r="DT935" s="25"/>
      <c r="DU935" s="25"/>
      <c r="DV935" s="25"/>
      <c r="DW935" s="25"/>
      <c r="DX935" s="25"/>
      <c r="DY935" s="25"/>
      <c r="DZ935" s="25"/>
      <c r="EA935" s="25"/>
      <c r="EB935" s="25"/>
      <c r="EC935" s="25"/>
      <c r="ED935" s="25"/>
      <c r="EE935" s="25"/>
      <c r="EF935" s="25"/>
      <c r="EG935" s="25"/>
      <c r="EH935" s="25"/>
      <c r="EI935" s="25"/>
      <c r="EJ935" s="25"/>
      <c r="EK935" s="25"/>
      <c r="EL935" s="25"/>
      <c r="EM935" s="25"/>
      <c r="EN935" s="25"/>
      <c r="EO935" s="25"/>
      <c r="EP935" s="25"/>
      <c r="EQ935" s="25"/>
      <c r="ER935" s="25"/>
      <c r="ES935" s="25"/>
      <c r="ET935" s="25"/>
      <c r="EU935" s="25"/>
      <c r="EV935" s="25"/>
      <c r="EW935" s="25"/>
      <c r="EX935" s="25"/>
      <c r="EY935" s="25"/>
      <c r="EZ935" s="25"/>
      <c r="FA935" s="25"/>
      <c r="FB935" s="25"/>
      <c r="FC935" s="25"/>
      <c r="FD935" s="25"/>
      <c r="FE935" s="25"/>
      <c r="FF935" s="25"/>
      <c r="FG935" s="25"/>
      <c r="FH935" s="25"/>
      <c r="FI935" s="25"/>
      <c r="FJ935" s="25"/>
      <c r="FK935" s="25"/>
      <c r="FL935" s="25"/>
      <c r="FM935" s="25"/>
      <c r="FN935" s="25"/>
      <c r="FO935" s="25"/>
      <c r="FP935" s="25"/>
      <c r="FQ935" s="25"/>
      <c r="FR935" s="25"/>
      <c r="FS935" s="25"/>
      <c r="FT935" s="25"/>
      <c r="FU935" s="25"/>
      <c r="FV935" s="28"/>
      <c r="FW935" s="27"/>
      <c r="FX935" s="27"/>
      <c r="FY935" s="25"/>
      <c r="FZ935" s="25"/>
      <c r="GA935" s="25"/>
      <c r="GB935" s="25"/>
      <c r="GC935" s="25"/>
      <c r="GD935" s="25"/>
      <c r="GE935" s="25"/>
      <c r="GF935" s="25"/>
      <c r="GG935" s="25"/>
      <c r="GH935" s="25"/>
      <c r="GI935" s="25"/>
      <c r="GJ935" s="25"/>
      <c r="GK935" s="25"/>
      <c r="GL935" s="25"/>
      <c r="GM935" s="25"/>
      <c r="GN935" s="25"/>
      <c r="GO935" s="25"/>
      <c r="GP935" s="25"/>
      <c r="GQ935" s="25"/>
      <c r="GR935" s="25"/>
      <c r="GS935" s="25"/>
      <c r="GT935" s="25"/>
      <c r="GU935" s="25"/>
      <c r="GV935" s="25"/>
      <c r="GW935" s="25"/>
      <c r="GX935" s="25"/>
      <c r="GY935" s="25"/>
      <c r="GZ935" s="25"/>
      <c r="HA935" s="25"/>
      <c r="HB935" s="25"/>
      <c r="HC935" s="25"/>
      <c r="HD935" s="25"/>
      <c r="HE935" s="25"/>
      <c r="HF935" s="25"/>
      <c r="HG935" s="25"/>
      <c r="HH935" s="25"/>
      <c r="HI935" s="25"/>
      <c r="HJ935" s="25"/>
      <c r="HK935" s="25"/>
      <c r="HL935" s="25"/>
    </row>
    <row r="936" spans="1:220" ht="15.75" customHeight="1" x14ac:dyDescent="0.2">
      <c r="A936" s="25"/>
      <c r="B936" s="29"/>
      <c r="C936" s="26"/>
      <c r="D936" s="29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  <c r="CC936" s="25"/>
      <c r="CD936" s="25"/>
      <c r="CE936" s="25"/>
      <c r="CF936" s="25"/>
      <c r="CG936" s="25"/>
      <c r="CH936" s="25"/>
      <c r="CI936" s="25"/>
      <c r="CJ936" s="25"/>
      <c r="CK936" s="25"/>
      <c r="CL936" s="25"/>
      <c r="CM936" s="25"/>
      <c r="CN936" s="25"/>
      <c r="CO936" s="25"/>
      <c r="CP936" s="25"/>
      <c r="CQ936" s="25"/>
      <c r="CR936" s="25"/>
      <c r="CS936" s="25"/>
      <c r="CT936" s="25"/>
      <c r="CU936" s="25"/>
      <c r="CV936" s="25"/>
      <c r="CW936" s="25"/>
      <c r="CX936" s="25"/>
      <c r="CY936" s="25"/>
      <c r="CZ936" s="25"/>
      <c r="DA936" s="25"/>
      <c r="DB936" s="25"/>
      <c r="DC936" s="25"/>
      <c r="DD936" s="25"/>
      <c r="DE936" s="25"/>
      <c r="DF936" s="25"/>
      <c r="DG936" s="25"/>
      <c r="DH936" s="25"/>
      <c r="DI936" s="25"/>
      <c r="DJ936" s="25"/>
      <c r="DK936" s="25"/>
      <c r="DL936" s="25"/>
      <c r="DM936" s="25"/>
      <c r="DN936" s="25"/>
      <c r="DO936" s="25"/>
      <c r="DP936" s="25"/>
      <c r="DQ936" s="25"/>
      <c r="DR936" s="25"/>
      <c r="DS936" s="25"/>
      <c r="DT936" s="25"/>
      <c r="DU936" s="25"/>
      <c r="DV936" s="25"/>
      <c r="DW936" s="25"/>
      <c r="DX936" s="25"/>
      <c r="DY936" s="25"/>
      <c r="DZ936" s="25"/>
      <c r="EA936" s="25"/>
      <c r="EB936" s="25"/>
      <c r="EC936" s="25"/>
      <c r="ED936" s="25"/>
      <c r="EE936" s="25"/>
      <c r="EF936" s="25"/>
      <c r="EG936" s="25"/>
      <c r="EH936" s="25"/>
      <c r="EI936" s="25"/>
      <c r="EJ936" s="25"/>
      <c r="EK936" s="25"/>
      <c r="EL936" s="25"/>
      <c r="EM936" s="25"/>
      <c r="EN936" s="25"/>
      <c r="EO936" s="25"/>
      <c r="EP936" s="25"/>
      <c r="EQ936" s="25"/>
      <c r="ER936" s="25"/>
      <c r="ES936" s="25"/>
      <c r="ET936" s="25"/>
      <c r="EU936" s="25"/>
      <c r="EV936" s="25"/>
      <c r="EW936" s="25"/>
      <c r="EX936" s="25"/>
      <c r="EY936" s="25"/>
      <c r="EZ936" s="25"/>
      <c r="FA936" s="25"/>
      <c r="FB936" s="25"/>
      <c r="FC936" s="25"/>
      <c r="FD936" s="25"/>
      <c r="FE936" s="25"/>
      <c r="FF936" s="25"/>
      <c r="FG936" s="25"/>
      <c r="FH936" s="25"/>
      <c r="FI936" s="25"/>
      <c r="FJ936" s="25"/>
      <c r="FK936" s="25"/>
      <c r="FL936" s="25"/>
      <c r="FM936" s="25"/>
      <c r="FN936" s="25"/>
      <c r="FO936" s="25"/>
      <c r="FP936" s="25"/>
      <c r="FQ936" s="25"/>
      <c r="FR936" s="25"/>
      <c r="FS936" s="25"/>
      <c r="FT936" s="25"/>
      <c r="FU936" s="25"/>
      <c r="FV936" s="28"/>
      <c r="FW936" s="27"/>
      <c r="FX936" s="27"/>
      <c r="FY936" s="25"/>
      <c r="FZ936" s="25"/>
      <c r="GA936" s="25"/>
      <c r="GB936" s="25"/>
      <c r="GC936" s="25"/>
      <c r="GD936" s="25"/>
      <c r="GE936" s="25"/>
      <c r="GF936" s="25"/>
      <c r="GG936" s="25"/>
      <c r="GH936" s="25"/>
      <c r="GI936" s="25"/>
      <c r="GJ936" s="25"/>
      <c r="GK936" s="25"/>
      <c r="GL936" s="25"/>
      <c r="GM936" s="25"/>
      <c r="GN936" s="25"/>
      <c r="GO936" s="25"/>
      <c r="GP936" s="25"/>
      <c r="GQ936" s="25"/>
      <c r="GR936" s="25"/>
      <c r="GS936" s="25"/>
      <c r="GT936" s="25"/>
      <c r="GU936" s="25"/>
      <c r="GV936" s="25"/>
      <c r="GW936" s="25"/>
      <c r="GX936" s="25"/>
      <c r="GY936" s="25"/>
      <c r="GZ936" s="25"/>
      <c r="HA936" s="25"/>
      <c r="HB936" s="25"/>
      <c r="HC936" s="25"/>
      <c r="HD936" s="25"/>
      <c r="HE936" s="25"/>
      <c r="HF936" s="25"/>
      <c r="HG936" s="25"/>
      <c r="HH936" s="25"/>
      <c r="HI936" s="25"/>
      <c r="HJ936" s="25"/>
      <c r="HK936" s="25"/>
      <c r="HL936" s="25"/>
    </row>
    <row r="937" spans="1:220" ht="15.75" customHeight="1" x14ac:dyDescent="0.2">
      <c r="A937" s="25"/>
      <c r="B937" s="29"/>
      <c r="C937" s="26"/>
      <c r="D937" s="29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  <c r="CI937" s="25"/>
      <c r="CJ937" s="25"/>
      <c r="CK937" s="25"/>
      <c r="CL937" s="25"/>
      <c r="CM937" s="25"/>
      <c r="CN937" s="25"/>
      <c r="CO937" s="25"/>
      <c r="CP937" s="25"/>
      <c r="CQ937" s="25"/>
      <c r="CR937" s="25"/>
      <c r="CS937" s="25"/>
      <c r="CT937" s="25"/>
      <c r="CU937" s="25"/>
      <c r="CV937" s="25"/>
      <c r="CW937" s="25"/>
      <c r="CX937" s="25"/>
      <c r="CY937" s="25"/>
      <c r="CZ937" s="25"/>
      <c r="DA937" s="25"/>
      <c r="DB937" s="25"/>
      <c r="DC937" s="25"/>
      <c r="DD937" s="25"/>
      <c r="DE937" s="25"/>
      <c r="DF937" s="25"/>
      <c r="DG937" s="25"/>
      <c r="DH937" s="25"/>
      <c r="DI937" s="25"/>
      <c r="DJ937" s="25"/>
      <c r="DK937" s="25"/>
      <c r="DL937" s="25"/>
      <c r="DM937" s="25"/>
      <c r="DN937" s="25"/>
      <c r="DO937" s="25"/>
      <c r="DP937" s="25"/>
      <c r="DQ937" s="25"/>
      <c r="DR937" s="25"/>
      <c r="DS937" s="25"/>
      <c r="DT937" s="25"/>
      <c r="DU937" s="25"/>
      <c r="DV937" s="25"/>
      <c r="DW937" s="25"/>
      <c r="DX937" s="25"/>
      <c r="DY937" s="25"/>
      <c r="DZ937" s="25"/>
      <c r="EA937" s="25"/>
      <c r="EB937" s="25"/>
      <c r="EC937" s="25"/>
      <c r="ED937" s="25"/>
      <c r="EE937" s="25"/>
      <c r="EF937" s="25"/>
      <c r="EG937" s="25"/>
      <c r="EH937" s="25"/>
      <c r="EI937" s="25"/>
      <c r="EJ937" s="25"/>
      <c r="EK937" s="25"/>
      <c r="EL937" s="25"/>
      <c r="EM937" s="25"/>
      <c r="EN937" s="25"/>
      <c r="EO937" s="25"/>
      <c r="EP937" s="25"/>
      <c r="EQ937" s="25"/>
      <c r="ER937" s="25"/>
      <c r="ES937" s="25"/>
      <c r="ET937" s="25"/>
      <c r="EU937" s="25"/>
      <c r="EV937" s="25"/>
      <c r="EW937" s="25"/>
      <c r="EX937" s="25"/>
      <c r="EY937" s="25"/>
      <c r="EZ937" s="25"/>
      <c r="FA937" s="25"/>
      <c r="FB937" s="25"/>
      <c r="FC937" s="25"/>
      <c r="FD937" s="25"/>
      <c r="FE937" s="25"/>
      <c r="FF937" s="25"/>
      <c r="FG937" s="25"/>
      <c r="FH937" s="25"/>
      <c r="FI937" s="25"/>
      <c r="FJ937" s="25"/>
      <c r="FK937" s="25"/>
      <c r="FL937" s="25"/>
      <c r="FM937" s="25"/>
      <c r="FN937" s="25"/>
      <c r="FO937" s="25"/>
      <c r="FP937" s="25"/>
      <c r="FQ937" s="25"/>
      <c r="FR937" s="25"/>
      <c r="FS937" s="25"/>
      <c r="FT937" s="25"/>
      <c r="FU937" s="25"/>
      <c r="FV937" s="28"/>
      <c r="FW937" s="27"/>
      <c r="FX937" s="27"/>
      <c r="FY937" s="25"/>
      <c r="FZ937" s="25"/>
      <c r="GA937" s="25"/>
      <c r="GB937" s="25"/>
      <c r="GC937" s="25"/>
      <c r="GD937" s="25"/>
      <c r="GE937" s="25"/>
      <c r="GF937" s="25"/>
      <c r="GG937" s="25"/>
      <c r="GH937" s="25"/>
      <c r="GI937" s="25"/>
      <c r="GJ937" s="25"/>
      <c r="GK937" s="25"/>
      <c r="GL937" s="25"/>
      <c r="GM937" s="25"/>
      <c r="GN937" s="25"/>
      <c r="GO937" s="25"/>
      <c r="GP937" s="25"/>
      <c r="GQ937" s="25"/>
      <c r="GR937" s="25"/>
      <c r="GS937" s="25"/>
      <c r="GT937" s="25"/>
      <c r="GU937" s="25"/>
      <c r="GV937" s="25"/>
      <c r="GW937" s="25"/>
      <c r="GX937" s="25"/>
      <c r="GY937" s="25"/>
      <c r="GZ937" s="25"/>
      <c r="HA937" s="25"/>
      <c r="HB937" s="25"/>
      <c r="HC937" s="25"/>
      <c r="HD937" s="25"/>
      <c r="HE937" s="25"/>
      <c r="HF937" s="25"/>
      <c r="HG937" s="25"/>
      <c r="HH937" s="25"/>
      <c r="HI937" s="25"/>
      <c r="HJ937" s="25"/>
      <c r="HK937" s="25"/>
      <c r="HL937" s="25"/>
    </row>
    <row r="938" spans="1:220" ht="15.75" customHeight="1" x14ac:dyDescent="0.2">
      <c r="A938" s="25"/>
      <c r="B938" s="29"/>
      <c r="C938" s="26"/>
      <c r="D938" s="29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  <c r="CC938" s="25"/>
      <c r="CD938" s="25"/>
      <c r="CE938" s="25"/>
      <c r="CF938" s="25"/>
      <c r="CG938" s="25"/>
      <c r="CH938" s="25"/>
      <c r="CI938" s="25"/>
      <c r="CJ938" s="25"/>
      <c r="CK938" s="25"/>
      <c r="CL938" s="25"/>
      <c r="CM938" s="25"/>
      <c r="CN938" s="25"/>
      <c r="CO938" s="25"/>
      <c r="CP938" s="25"/>
      <c r="CQ938" s="25"/>
      <c r="CR938" s="25"/>
      <c r="CS938" s="25"/>
      <c r="CT938" s="25"/>
      <c r="CU938" s="25"/>
      <c r="CV938" s="25"/>
      <c r="CW938" s="25"/>
      <c r="CX938" s="25"/>
      <c r="CY938" s="25"/>
      <c r="CZ938" s="25"/>
      <c r="DA938" s="25"/>
      <c r="DB938" s="25"/>
      <c r="DC938" s="25"/>
      <c r="DD938" s="25"/>
      <c r="DE938" s="25"/>
      <c r="DF938" s="25"/>
      <c r="DG938" s="25"/>
      <c r="DH938" s="25"/>
      <c r="DI938" s="25"/>
      <c r="DJ938" s="25"/>
      <c r="DK938" s="25"/>
      <c r="DL938" s="25"/>
      <c r="DM938" s="25"/>
      <c r="DN938" s="25"/>
      <c r="DO938" s="25"/>
      <c r="DP938" s="25"/>
      <c r="DQ938" s="25"/>
      <c r="DR938" s="25"/>
      <c r="DS938" s="25"/>
      <c r="DT938" s="25"/>
      <c r="DU938" s="25"/>
      <c r="DV938" s="25"/>
      <c r="DW938" s="25"/>
      <c r="DX938" s="25"/>
      <c r="DY938" s="25"/>
      <c r="DZ938" s="25"/>
      <c r="EA938" s="25"/>
      <c r="EB938" s="25"/>
      <c r="EC938" s="25"/>
      <c r="ED938" s="25"/>
      <c r="EE938" s="25"/>
      <c r="EF938" s="25"/>
      <c r="EG938" s="25"/>
      <c r="EH938" s="25"/>
      <c r="EI938" s="25"/>
      <c r="EJ938" s="25"/>
      <c r="EK938" s="25"/>
      <c r="EL938" s="25"/>
      <c r="EM938" s="25"/>
      <c r="EN938" s="25"/>
      <c r="EO938" s="25"/>
      <c r="EP938" s="25"/>
      <c r="EQ938" s="25"/>
      <c r="ER938" s="25"/>
      <c r="ES938" s="25"/>
      <c r="ET938" s="25"/>
      <c r="EU938" s="25"/>
      <c r="EV938" s="25"/>
      <c r="EW938" s="25"/>
      <c r="EX938" s="25"/>
      <c r="EY938" s="25"/>
      <c r="EZ938" s="25"/>
      <c r="FA938" s="25"/>
      <c r="FB938" s="25"/>
      <c r="FC938" s="25"/>
      <c r="FD938" s="25"/>
      <c r="FE938" s="25"/>
      <c r="FF938" s="25"/>
      <c r="FG938" s="25"/>
      <c r="FH938" s="25"/>
      <c r="FI938" s="25"/>
      <c r="FJ938" s="25"/>
      <c r="FK938" s="25"/>
      <c r="FL938" s="25"/>
      <c r="FM938" s="25"/>
      <c r="FN938" s="25"/>
      <c r="FO938" s="25"/>
      <c r="FP938" s="25"/>
      <c r="FQ938" s="25"/>
      <c r="FR938" s="25"/>
      <c r="FS938" s="25"/>
      <c r="FT938" s="25"/>
      <c r="FU938" s="25"/>
      <c r="FV938" s="28"/>
      <c r="FW938" s="27"/>
      <c r="FX938" s="27"/>
      <c r="FY938" s="25"/>
      <c r="FZ938" s="25"/>
      <c r="GA938" s="25"/>
      <c r="GB938" s="25"/>
      <c r="GC938" s="25"/>
      <c r="GD938" s="25"/>
      <c r="GE938" s="25"/>
      <c r="GF938" s="25"/>
      <c r="GG938" s="25"/>
      <c r="GH938" s="25"/>
      <c r="GI938" s="25"/>
      <c r="GJ938" s="25"/>
      <c r="GK938" s="25"/>
      <c r="GL938" s="25"/>
      <c r="GM938" s="25"/>
      <c r="GN938" s="25"/>
      <c r="GO938" s="25"/>
      <c r="GP938" s="25"/>
      <c r="GQ938" s="25"/>
      <c r="GR938" s="25"/>
      <c r="GS938" s="25"/>
      <c r="GT938" s="25"/>
      <c r="GU938" s="25"/>
      <c r="GV938" s="25"/>
      <c r="GW938" s="25"/>
      <c r="GX938" s="25"/>
      <c r="GY938" s="25"/>
      <c r="GZ938" s="25"/>
      <c r="HA938" s="25"/>
      <c r="HB938" s="25"/>
      <c r="HC938" s="25"/>
      <c r="HD938" s="25"/>
      <c r="HE938" s="25"/>
      <c r="HF938" s="25"/>
      <c r="HG938" s="25"/>
      <c r="HH938" s="25"/>
      <c r="HI938" s="25"/>
      <c r="HJ938" s="25"/>
      <c r="HK938" s="25"/>
      <c r="HL938" s="25"/>
    </row>
    <row r="939" spans="1:220" ht="15.75" customHeight="1" x14ac:dyDescent="0.2">
      <c r="A939" s="25"/>
      <c r="B939" s="29"/>
      <c r="C939" s="26"/>
      <c r="D939" s="29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  <c r="CC939" s="25"/>
      <c r="CD939" s="25"/>
      <c r="CE939" s="25"/>
      <c r="CF939" s="25"/>
      <c r="CG939" s="25"/>
      <c r="CH939" s="25"/>
      <c r="CI939" s="25"/>
      <c r="CJ939" s="25"/>
      <c r="CK939" s="25"/>
      <c r="CL939" s="25"/>
      <c r="CM939" s="25"/>
      <c r="CN939" s="25"/>
      <c r="CO939" s="25"/>
      <c r="CP939" s="25"/>
      <c r="CQ939" s="25"/>
      <c r="CR939" s="25"/>
      <c r="CS939" s="25"/>
      <c r="CT939" s="25"/>
      <c r="CU939" s="25"/>
      <c r="CV939" s="25"/>
      <c r="CW939" s="25"/>
      <c r="CX939" s="25"/>
      <c r="CY939" s="25"/>
      <c r="CZ939" s="25"/>
      <c r="DA939" s="25"/>
      <c r="DB939" s="25"/>
      <c r="DC939" s="25"/>
      <c r="DD939" s="25"/>
      <c r="DE939" s="25"/>
      <c r="DF939" s="25"/>
      <c r="DG939" s="25"/>
      <c r="DH939" s="25"/>
      <c r="DI939" s="25"/>
      <c r="DJ939" s="25"/>
      <c r="DK939" s="25"/>
      <c r="DL939" s="25"/>
      <c r="DM939" s="25"/>
      <c r="DN939" s="25"/>
      <c r="DO939" s="25"/>
      <c r="DP939" s="25"/>
      <c r="DQ939" s="25"/>
      <c r="DR939" s="25"/>
      <c r="DS939" s="25"/>
      <c r="DT939" s="25"/>
      <c r="DU939" s="25"/>
      <c r="DV939" s="25"/>
      <c r="DW939" s="25"/>
      <c r="DX939" s="25"/>
      <c r="DY939" s="25"/>
      <c r="DZ939" s="25"/>
      <c r="EA939" s="25"/>
      <c r="EB939" s="25"/>
      <c r="EC939" s="25"/>
      <c r="ED939" s="25"/>
      <c r="EE939" s="25"/>
      <c r="EF939" s="25"/>
      <c r="EG939" s="25"/>
      <c r="EH939" s="25"/>
      <c r="EI939" s="25"/>
      <c r="EJ939" s="25"/>
      <c r="EK939" s="25"/>
      <c r="EL939" s="25"/>
      <c r="EM939" s="25"/>
      <c r="EN939" s="25"/>
      <c r="EO939" s="25"/>
      <c r="EP939" s="25"/>
      <c r="EQ939" s="25"/>
      <c r="ER939" s="25"/>
      <c r="ES939" s="25"/>
      <c r="ET939" s="25"/>
      <c r="EU939" s="25"/>
      <c r="EV939" s="25"/>
      <c r="EW939" s="25"/>
      <c r="EX939" s="25"/>
      <c r="EY939" s="25"/>
      <c r="EZ939" s="25"/>
      <c r="FA939" s="25"/>
      <c r="FB939" s="25"/>
      <c r="FC939" s="25"/>
      <c r="FD939" s="25"/>
      <c r="FE939" s="25"/>
      <c r="FF939" s="25"/>
      <c r="FG939" s="25"/>
      <c r="FH939" s="25"/>
      <c r="FI939" s="25"/>
      <c r="FJ939" s="25"/>
      <c r="FK939" s="25"/>
      <c r="FL939" s="25"/>
      <c r="FM939" s="25"/>
      <c r="FN939" s="25"/>
      <c r="FO939" s="25"/>
      <c r="FP939" s="25"/>
      <c r="FQ939" s="25"/>
      <c r="FR939" s="25"/>
      <c r="FS939" s="25"/>
      <c r="FT939" s="25"/>
      <c r="FU939" s="25"/>
      <c r="FV939" s="28"/>
      <c r="FW939" s="27"/>
      <c r="FX939" s="27"/>
      <c r="FY939" s="25"/>
      <c r="FZ939" s="25"/>
      <c r="GA939" s="25"/>
      <c r="GB939" s="25"/>
      <c r="GC939" s="25"/>
      <c r="GD939" s="25"/>
      <c r="GE939" s="25"/>
      <c r="GF939" s="25"/>
      <c r="GG939" s="25"/>
      <c r="GH939" s="25"/>
      <c r="GI939" s="25"/>
      <c r="GJ939" s="25"/>
      <c r="GK939" s="25"/>
      <c r="GL939" s="25"/>
      <c r="GM939" s="25"/>
      <c r="GN939" s="25"/>
      <c r="GO939" s="25"/>
      <c r="GP939" s="25"/>
      <c r="GQ939" s="25"/>
      <c r="GR939" s="25"/>
      <c r="GS939" s="25"/>
      <c r="GT939" s="25"/>
      <c r="GU939" s="25"/>
      <c r="GV939" s="25"/>
      <c r="GW939" s="25"/>
      <c r="GX939" s="25"/>
      <c r="GY939" s="25"/>
      <c r="GZ939" s="25"/>
      <c r="HA939" s="25"/>
      <c r="HB939" s="25"/>
      <c r="HC939" s="25"/>
      <c r="HD939" s="25"/>
      <c r="HE939" s="25"/>
      <c r="HF939" s="25"/>
      <c r="HG939" s="25"/>
      <c r="HH939" s="25"/>
      <c r="HI939" s="25"/>
      <c r="HJ939" s="25"/>
      <c r="HK939" s="25"/>
      <c r="HL939" s="25"/>
    </row>
    <row r="940" spans="1:220" ht="15.75" customHeight="1" x14ac:dyDescent="0.2">
      <c r="A940" s="25"/>
      <c r="B940" s="29"/>
      <c r="C940" s="26"/>
      <c r="D940" s="29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  <c r="CC940" s="25"/>
      <c r="CD940" s="25"/>
      <c r="CE940" s="25"/>
      <c r="CF940" s="25"/>
      <c r="CG940" s="25"/>
      <c r="CH940" s="25"/>
      <c r="CI940" s="25"/>
      <c r="CJ940" s="25"/>
      <c r="CK940" s="25"/>
      <c r="CL940" s="25"/>
      <c r="CM940" s="25"/>
      <c r="CN940" s="25"/>
      <c r="CO940" s="25"/>
      <c r="CP940" s="25"/>
      <c r="CQ940" s="25"/>
      <c r="CR940" s="25"/>
      <c r="CS940" s="25"/>
      <c r="CT940" s="25"/>
      <c r="CU940" s="25"/>
      <c r="CV940" s="25"/>
      <c r="CW940" s="25"/>
      <c r="CX940" s="25"/>
      <c r="CY940" s="25"/>
      <c r="CZ940" s="25"/>
      <c r="DA940" s="25"/>
      <c r="DB940" s="25"/>
      <c r="DC940" s="25"/>
      <c r="DD940" s="25"/>
      <c r="DE940" s="25"/>
      <c r="DF940" s="25"/>
      <c r="DG940" s="25"/>
      <c r="DH940" s="25"/>
      <c r="DI940" s="25"/>
      <c r="DJ940" s="25"/>
      <c r="DK940" s="25"/>
      <c r="DL940" s="25"/>
      <c r="DM940" s="25"/>
      <c r="DN940" s="25"/>
      <c r="DO940" s="25"/>
      <c r="DP940" s="25"/>
      <c r="DQ940" s="25"/>
      <c r="DR940" s="25"/>
      <c r="DS940" s="25"/>
      <c r="DT940" s="25"/>
      <c r="DU940" s="25"/>
      <c r="DV940" s="25"/>
      <c r="DW940" s="25"/>
      <c r="DX940" s="25"/>
      <c r="DY940" s="25"/>
      <c r="DZ940" s="25"/>
      <c r="EA940" s="25"/>
      <c r="EB940" s="25"/>
      <c r="EC940" s="25"/>
      <c r="ED940" s="25"/>
      <c r="EE940" s="25"/>
      <c r="EF940" s="25"/>
      <c r="EG940" s="25"/>
      <c r="EH940" s="25"/>
      <c r="EI940" s="25"/>
      <c r="EJ940" s="25"/>
      <c r="EK940" s="25"/>
      <c r="EL940" s="25"/>
      <c r="EM940" s="25"/>
      <c r="EN940" s="25"/>
      <c r="EO940" s="25"/>
      <c r="EP940" s="25"/>
      <c r="EQ940" s="25"/>
      <c r="ER940" s="25"/>
      <c r="ES940" s="25"/>
      <c r="ET940" s="25"/>
      <c r="EU940" s="25"/>
      <c r="EV940" s="25"/>
      <c r="EW940" s="25"/>
      <c r="EX940" s="25"/>
      <c r="EY940" s="25"/>
      <c r="EZ940" s="25"/>
      <c r="FA940" s="25"/>
      <c r="FB940" s="25"/>
      <c r="FC940" s="25"/>
      <c r="FD940" s="25"/>
      <c r="FE940" s="25"/>
      <c r="FF940" s="25"/>
      <c r="FG940" s="25"/>
      <c r="FH940" s="25"/>
      <c r="FI940" s="25"/>
      <c r="FJ940" s="25"/>
      <c r="FK940" s="25"/>
      <c r="FL940" s="25"/>
      <c r="FM940" s="25"/>
      <c r="FN940" s="25"/>
      <c r="FO940" s="25"/>
      <c r="FP940" s="25"/>
      <c r="FQ940" s="25"/>
      <c r="FR940" s="25"/>
      <c r="FS940" s="25"/>
      <c r="FT940" s="25"/>
      <c r="FU940" s="25"/>
      <c r="FV940" s="28"/>
      <c r="FW940" s="27"/>
      <c r="FX940" s="27"/>
      <c r="FY940" s="25"/>
      <c r="FZ940" s="25"/>
      <c r="GA940" s="25"/>
      <c r="GB940" s="25"/>
      <c r="GC940" s="25"/>
      <c r="GD940" s="25"/>
      <c r="GE940" s="25"/>
      <c r="GF940" s="25"/>
      <c r="GG940" s="25"/>
      <c r="GH940" s="25"/>
      <c r="GI940" s="25"/>
      <c r="GJ940" s="25"/>
      <c r="GK940" s="25"/>
      <c r="GL940" s="25"/>
      <c r="GM940" s="25"/>
      <c r="GN940" s="25"/>
      <c r="GO940" s="25"/>
      <c r="GP940" s="25"/>
      <c r="GQ940" s="25"/>
      <c r="GR940" s="25"/>
      <c r="GS940" s="25"/>
      <c r="GT940" s="25"/>
      <c r="GU940" s="25"/>
      <c r="GV940" s="25"/>
      <c r="GW940" s="25"/>
      <c r="GX940" s="25"/>
      <c r="GY940" s="25"/>
      <c r="GZ940" s="25"/>
      <c r="HA940" s="25"/>
      <c r="HB940" s="25"/>
      <c r="HC940" s="25"/>
      <c r="HD940" s="25"/>
      <c r="HE940" s="25"/>
      <c r="HF940" s="25"/>
      <c r="HG940" s="25"/>
      <c r="HH940" s="25"/>
      <c r="HI940" s="25"/>
      <c r="HJ940" s="25"/>
      <c r="HK940" s="25"/>
      <c r="HL940" s="25"/>
    </row>
    <row r="941" spans="1:220" ht="15.75" customHeight="1" x14ac:dyDescent="0.2">
      <c r="A941" s="25"/>
      <c r="B941" s="29"/>
      <c r="C941" s="26"/>
      <c r="D941" s="29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  <c r="CI941" s="25"/>
      <c r="CJ941" s="25"/>
      <c r="CK941" s="25"/>
      <c r="CL941" s="25"/>
      <c r="CM941" s="25"/>
      <c r="CN941" s="25"/>
      <c r="CO941" s="25"/>
      <c r="CP941" s="25"/>
      <c r="CQ941" s="25"/>
      <c r="CR941" s="25"/>
      <c r="CS941" s="25"/>
      <c r="CT941" s="25"/>
      <c r="CU941" s="25"/>
      <c r="CV941" s="25"/>
      <c r="CW941" s="25"/>
      <c r="CX941" s="25"/>
      <c r="CY941" s="25"/>
      <c r="CZ941" s="25"/>
      <c r="DA941" s="25"/>
      <c r="DB941" s="25"/>
      <c r="DC941" s="25"/>
      <c r="DD941" s="25"/>
      <c r="DE941" s="25"/>
      <c r="DF941" s="25"/>
      <c r="DG941" s="25"/>
      <c r="DH941" s="25"/>
      <c r="DI941" s="25"/>
      <c r="DJ941" s="25"/>
      <c r="DK941" s="25"/>
      <c r="DL941" s="25"/>
      <c r="DM941" s="25"/>
      <c r="DN941" s="25"/>
      <c r="DO941" s="25"/>
      <c r="DP941" s="25"/>
      <c r="DQ941" s="25"/>
      <c r="DR941" s="25"/>
      <c r="DS941" s="25"/>
      <c r="DT941" s="25"/>
      <c r="DU941" s="25"/>
      <c r="DV941" s="25"/>
      <c r="DW941" s="25"/>
      <c r="DX941" s="25"/>
      <c r="DY941" s="25"/>
      <c r="DZ941" s="25"/>
      <c r="EA941" s="25"/>
      <c r="EB941" s="25"/>
      <c r="EC941" s="25"/>
      <c r="ED941" s="25"/>
      <c r="EE941" s="25"/>
      <c r="EF941" s="25"/>
      <c r="EG941" s="25"/>
      <c r="EH941" s="25"/>
      <c r="EI941" s="25"/>
      <c r="EJ941" s="25"/>
      <c r="EK941" s="25"/>
      <c r="EL941" s="25"/>
      <c r="EM941" s="25"/>
      <c r="EN941" s="25"/>
      <c r="EO941" s="25"/>
      <c r="EP941" s="25"/>
      <c r="EQ941" s="25"/>
      <c r="ER941" s="25"/>
      <c r="ES941" s="25"/>
      <c r="ET941" s="25"/>
      <c r="EU941" s="25"/>
      <c r="EV941" s="25"/>
      <c r="EW941" s="25"/>
      <c r="EX941" s="25"/>
      <c r="EY941" s="25"/>
      <c r="EZ941" s="25"/>
      <c r="FA941" s="25"/>
      <c r="FB941" s="25"/>
      <c r="FC941" s="25"/>
      <c r="FD941" s="25"/>
      <c r="FE941" s="25"/>
      <c r="FF941" s="25"/>
      <c r="FG941" s="25"/>
      <c r="FH941" s="25"/>
      <c r="FI941" s="25"/>
      <c r="FJ941" s="25"/>
      <c r="FK941" s="25"/>
      <c r="FL941" s="25"/>
      <c r="FM941" s="25"/>
      <c r="FN941" s="25"/>
      <c r="FO941" s="25"/>
      <c r="FP941" s="25"/>
      <c r="FQ941" s="25"/>
      <c r="FR941" s="25"/>
      <c r="FS941" s="25"/>
      <c r="FT941" s="25"/>
      <c r="FU941" s="25"/>
      <c r="FV941" s="28"/>
      <c r="FW941" s="27"/>
      <c r="FX941" s="27"/>
      <c r="FY941" s="25"/>
      <c r="FZ941" s="25"/>
      <c r="GA941" s="25"/>
      <c r="GB941" s="25"/>
      <c r="GC941" s="25"/>
      <c r="GD941" s="25"/>
      <c r="GE941" s="25"/>
      <c r="GF941" s="25"/>
      <c r="GG941" s="25"/>
      <c r="GH941" s="25"/>
      <c r="GI941" s="25"/>
      <c r="GJ941" s="25"/>
      <c r="GK941" s="25"/>
      <c r="GL941" s="25"/>
      <c r="GM941" s="25"/>
      <c r="GN941" s="25"/>
      <c r="GO941" s="25"/>
      <c r="GP941" s="25"/>
      <c r="GQ941" s="25"/>
      <c r="GR941" s="25"/>
      <c r="GS941" s="25"/>
      <c r="GT941" s="25"/>
      <c r="GU941" s="25"/>
      <c r="GV941" s="25"/>
      <c r="GW941" s="25"/>
      <c r="GX941" s="25"/>
      <c r="GY941" s="25"/>
      <c r="GZ941" s="25"/>
      <c r="HA941" s="25"/>
      <c r="HB941" s="25"/>
      <c r="HC941" s="25"/>
      <c r="HD941" s="25"/>
      <c r="HE941" s="25"/>
      <c r="HF941" s="25"/>
      <c r="HG941" s="25"/>
      <c r="HH941" s="25"/>
      <c r="HI941" s="25"/>
      <c r="HJ941" s="25"/>
      <c r="HK941" s="25"/>
      <c r="HL941" s="25"/>
    </row>
    <row r="942" spans="1:220" ht="15.75" customHeight="1" x14ac:dyDescent="0.2">
      <c r="A942" s="25"/>
      <c r="B942" s="29"/>
      <c r="C942" s="26"/>
      <c r="D942" s="29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  <c r="CI942" s="25"/>
      <c r="CJ942" s="25"/>
      <c r="CK942" s="25"/>
      <c r="CL942" s="25"/>
      <c r="CM942" s="25"/>
      <c r="CN942" s="25"/>
      <c r="CO942" s="25"/>
      <c r="CP942" s="25"/>
      <c r="CQ942" s="25"/>
      <c r="CR942" s="25"/>
      <c r="CS942" s="25"/>
      <c r="CT942" s="25"/>
      <c r="CU942" s="25"/>
      <c r="CV942" s="25"/>
      <c r="CW942" s="25"/>
      <c r="CX942" s="25"/>
      <c r="CY942" s="25"/>
      <c r="CZ942" s="25"/>
      <c r="DA942" s="25"/>
      <c r="DB942" s="25"/>
      <c r="DC942" s="25"/>
      <c r="DD942" s="25"/>
      <c r="DE942" s="25"/>
      <c r="DF942" s="25"/>
      <c r="DG942" s="25"/>
      <c r="DH942" s="25"/>
      <c r="DI942" s="25"/>
      <c r="DJ942" s="25"/>
      <c r="DK942" s="25"/>
      <c r="DL942" s="25"/>
      <c r="DM942" s="25"/>
      <c r="DN942" s="25"/>
      <c r="DO942" s="25"/>
      <c r="DP942" s="25"/>
      <c r="DQ942" s="25"/>
      <c r="DR942" s="25"/>
      <c r="DS942" s="25"/>
      <c r="DT942" s="25"/>
      <c r="DU942" s="25"/>
      <c r="DV942" s="25"/>
      <c r="DW942" s="25"/>
      <c r="DX942" s="25"/>
      <c r="DY942" s="25"/>
      <c r="DZ942" s="25"/>
      <c r="EA942" s="25"/>
      <c r="EB942" s="25"/>
      <c r="EC942" s="25"/>
      <c r="ED942" s="25"/>
      <c r="EE942" s="25"/>
      <c r="EF942" s="25"/>
      <c r="EG942" s="25"/>
      <c r="EH942" s="25"/>
      <c r="EI942" s="25"/>
      <c r="EJ942" s="25"/>
      <c r="EK942" s="25"/>
      <c r="EL942" s="25"/>
      <c r="EM942" s="25"/>
      <c r="EN942" s="25"/>
      <c r="EO942" s="25"/>
      <c r="EP942" s="25"/>
      <c r="EQ942" s="25"/>
      <c r="ER942" s="25"/>
      <c r="ES942" s="25"/>
      <c r="ET942" s="25"/>
      <c r="EU942" s="25"/>
      <c r="EV942" s="25"/>
      <c r="EW942" s="25"/>
      <c r="EX942" s="25"/>
      <c r="EY942" s="25"/>
      <c r="EZ942" s="25"/>
      <c r="FA942" s="25"/>
      <c r="FB942" s="25"/>
      <c r="FC942" s="25"/>
      <c r="FD942" s="25"/>
      <c r="FE942" s="25"/>
      <c r="FF942" s="25"/>
      <c r="FG942" s="25"/>
      <c r="FH942" s="25"/>
      <c r="FI942" s="25"/>
      <c r="FJ942" s="25"/>
      <c r="FK942" s="25"/>
      <c r="FL942" s="25"/>
      <c r="FM942" s="25"/>
      <c r="FN942" s="25"/>
      <c r="FO942" s="25"/>
      <c r="FP942" s="25"/>
      <c r="FQ942" s="25"/>
      <c r="FR942" s="25"/>
      <c r="FS942" s="25"/>
      <c r="FT942" s="25"/>
      <c r="FU942" s="25"/>
      <c r="FV942" s="28"/>
      <c r="FW942" s="27"/>
      <c r="FX942" s="27"/>
      <c r="FY942" s="25"/>
      <c r="FZ942" s="25"/>
      <c r="GA942" s="25"/>
      <c r="GB942" s="25"/>
      <c r="GC942" s="25"/>
      <c r="GD942" s="25"/>
      <c r="GE942" s="25"/>
      <c r="GF942" s="25"/>
      <c r="GG942" s="25"/>
      <c r="GH942" s="25"/>
      <c r="GI942" s="25"/>
      <c r="GJ942" s="25"/>
      <c r="GK942" s="25"/>
      <c r="GL942" s="25"/>
      <c r="GM942" s="25"/>
      <c r="GN942" s="25"/>
      <c r="GO942" s="25"/>
      <c r="GP942" s="25"/>
      <c r="GQ942" s="25"/>
      <c r="GR942" s="25"/>
      <c r="GS942" s="25"/>
      <c r="GT942" s="25"/>
      <c r="GU942" s="25"/>
      <c r="GV942" s="25"/>
      <c r="GW942" s="25"/>
      <c r="GX942" s="25"/>
      <c r="GY942" s="25"/>
      <c r="GZ942" s="25"/>
      <c r="HA942" s="25"/>
      <c r="HB942" s="25"/>
      <c r="HC942" s="25"/>
      <c r="HD942" s="25"/>
      <c r="HE942" s="25"/>
      <c r="HF942" s="25"/>
      <c r="HG942" s="25"/>
      <c r="HH942" s="25"/>
      <c r="HI942" s="25"/>
      <c r="HJ942" s="25"/>
      <c r="HK942" s="25"/>
      <c r="HL942" s="25"/>
    </row>
    <row r="943" spans="1:220" ht="15.75" customHeight="1" x14ac:dyDescent="0.2">
      <c r="A943" s="25"/>
      <c r="B943" s="29"/>
      <c r="C943" s="26"/>
      <c r="D943" s="29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  <c r="CI943" s="25"/>
      <c r="CJ943" s="25"/>
      <c r="CK943" s="25"/>
      <c r="CL943" s="25"/>
      <c r="CM943" s="25"/>
      <c r="CN943" s="25"/>
      <c r="CO943" s="25"/>
      <c r="CP943" s="25"/>
      <c r="CQ943" s="25"/>
      <c r="CR943" s="25"/>
      <c r="CS943" s="25"/>
      <c r="CT943" s="25"/>
      <c r="CU943" s="25"/>
      <c r="CV943" s="25"/>
      <c r="CW943" s="25"/>
      <c r="CX943" s="25"/>
      <c r="CY943" s="25"/>
      <c r="CZ943" s="25"/>
      <c r="DA943" s="25"/>
      <c r="DB943" s="25"/>
      <c r="DC943" s="25"/>
      <c r="DD943" s="25"/>
      <c r="DE943" s="25"/>
      <c r="DF943" s="25"/>
      <c r="DG943" s="25"/>
      <c r="DH943" s="25"/>
      <c r="DI943" s="25"/>
      <c r="DJ943" s="25"/>
      <c r="DK943" s="25"/>
      <c r="DL943" s="25"/>
      <c r="DM943" s="25"/>
      <c r="DN943" s="25"/>
      <c r="DO943" s="25"/>
      <c r="DP943" s="25"/>
      <c r="DQ943" s="25"/>
      <c r="DR943" s="25"/>
      <c r="DS943" s="25"/>
      <c r="DT943" s="25"/>
      <c r="DU943" s="25"/>
      <c r="DV943" s="25"/>
      <c r="DW943" s="25"/>
      <c r="DX943" s="25"/>
      <c r="DY943" s="25"/>
      <c r="DZ943" s="25"/>
      <c r="EA943" s="25"/>
      <c r="EB943" s="25"/>
      <c r="EC943" s="25"/>
      <c r="ED943" s="25"/>
      <c r="EE943" s="25"/>
      <c r="EF943" s="25"/>
      <c r="EG943" s="25"/>
      <c r="EH943" s="25"/>
      <c r="EI943" s="25"/>
      <c r="EJ943" s="25"/>
      <c r="EK943" s="25"/>
      <c r="EL943" s="25"/>
      <c r="EM943" s="25"/>
      <c r="EN943" s="25"/>
      <c r="EO943" s="25"/>
      <c r="EP943" s="25"/>
      <c r="EQ943" s="25"/>
      <c r="ER943" s="25"/>
      <c r="ES943" s="25"/>
      <c r="ET943" s="25"/>
      <c r="EU943" s="25"/>
      <c r="EV943" s="25"/>
      <c r="EW943" s="25"/>
      <c r="EX943" s="25"/>
      <c r="EY943" s="25"/>
      <c r="EZ943" s="25"/>
      <c r="FA943" s="25"/>
      <c r="FB943" s="25"/>
      <c r="FC943" s="25"/>
      <c r="FD943" s="25"/>
      <c r="FE943" s="25"/>
      <c r="FF943" s="25"/>
      <c r="FG943" s="25"/>
      <c r="FH943" s="25"/>
      <c r="FI943" s="25"/>
      <c r="FJ943" s="25"/>
      <c r="FK943" s="25"/>
      <c r="FL943" s="25"/>
      <c r="FM943" s="25"/>
      <c r="FN943" s="25"/>
      <c r="FO943" s="25"/>
      <c r="FP943" s="25"/>
      <c r="FQ943" s="25"/>
      <c r="FR943" s="25"/>
      <c r="FS943" s="25"/>
      <c r="FT943" s="25"/>
      <c r="FU943" s="25"/>
      <c r="FV943" s="28"/>
      <c r="FW943" s="27"/>
      <c r="FX943" s="27"/>
      <c r="FY943" s="25"/>
      <c r="FZ943" s="25"/>
      <c r="GA943" s="25"/>
      <c r="GB943" s="25"/>
      <c r="GC943" s="25"/>
      <c r="GD943" s="25"/>
      <c r="GE943" s="25"/>
      <c r="GF943" s="25"/>
      <c r="GG943" s="25"/>
      <c r="GH943" s="25"/>
      <c r="GI943" s="25"/>
      <c r="GJ943" s="25"/>
      <c r="GK943" s="25"/>
      <c r="GL943" s="25"/>
      <c r="GM943" s="25"/>
      <c r="GN943" s="25"/>
      <c r="GO943" s="25"/>
      <c r="GP943" s="25"/>
      <c r="GQ943" s="25"/>
      <c r="GR943" s="25"/>
      <c r="GS943" s="25"/>
      <c r="GT943" s="25"/>
      <c r="GU943" s="25"/>
      <c r="GV943" s="25"/>
      <c r="GW943" s="25"/>
      <c r="GX943" s="25"/>
      <c r="GY943" s="25"/>
      <c r="GZ943" s="25"/>
      <c r="HA943" s="25"/>
      <c r="HB943" s="25"/>
      <c r="HC943" s="25"/>
      <c r="HD943" s="25"/>
      <c r="HE943" s="25"/>
      <c r="HF943" s="25"/>
      <c r="HG943" s="25"/>
      <c r="HH943" s="25"/>
      <c r="HI943" s="25"/>
      <c r="HJ943" s="25"/>
      <c r="HK943" s="25"/>
      <c r="HL943" s="25"/>
    </row>
    <row r="944" spans="1:220" ht="15.75" customHeight="1" x14ac:dyDescent="0.2">
      <c r="A944" s="25"/>
      <c r="B944" s="29"/>
      <c r="C944" s="26"/>
      <c r="D944" s="29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  <c r="CC944" s="25"/>
      <c r="CD944" s="25"/>
      <c r="CE944" s="25"/>
      <c r="CF944" s="25"/>
      <c r="CG944" s="25"/>
      <c r="CH944" s="25"/>
      <c r="CI944" s="25"/>
      <c r="CJ944" s="25"/>
      <c r="CK944" s="25"/>
      <c r="CL944" s="25"/>
      <c r="CM944" s="25"/>
      <c r="CN944" s="25"/>
      <c r="CO944" s="25"/>
      <c r="CP944" s="25"/>
      <c r="CQ944" s="25"/>
      <c r="CR944" s="25"/>
      <c r="CS944" s="25"/>
      <c r="CT944" s="25"/>
      <c r="CU944" s="25"/>
      <c r="CV944" s="25"/>
      <c r="CW944" s="25"/>
      <c r="CX944" s="25"/>
      <c r="CY944" s="25"/>
      <c r="CZ944" s="25"/>
      <c r="DA944" s="25"/>
      <c r="DB944" s="25"/>
      <c r="DC944" s="25"/>
      <c r="DD944" s="25"/>
      <c r="DE944" s="25"/>
      <c r="DF944" s="25"/>
      <c r="DG944" s="25"/>
      <c r="DH944" s="25"/>
      <c r="DI944" s="25"/>
      <c r="DJ944" s="25"/>
      <c r="DK944" s="25"/>
      <c r="DL944" s="25"/>
      <c r="DM944" s="25"/>
      <c r="DN944" s="25"/>
      <c r="DO944" s="25"/>
      <c r="DP944" s="25"/>
      <c r="DQ944" s="25"/>
      <c r="DR944" s="25"/>
      <c r="DS944" s="25"/>
      <c r="DT944" s="25"/>
      <c r="DU944" s="25"/>
      <c r="DV944" s="25"/>
      <c r="DW944" s="25"/>
      <c r="DX944" s="25"/>
      <c r="DY944" s="25"/>
      <c r="DZ944" s="25"/>
      <c r="EA944" s="25"/>
      <c r="EB944" s="25"/>
      <c r="EC944" s="25"/>
      <c r="ED944" s="25"/>
      <c r="EE944" s="25"/>
      <c r="EF944" s="25"/>
      <c r="EG944" s="25"/>
      <c r="EH944" s="25"/>
      <c r="EI944" s="25"/>
      <c r="EJ944" s="25"/>
      <c r="EK944" s="25"/>
      <c r="EL944" s="25"/>
      <c r="EM944" s="25"/>
      <c r="EN944" s="25"/>
      <c r="EO944" s="25"/>
      <c r="EP944" s="25"/>
      <c r="EQ944" s="25"/>
      <c r="ER944" s="25"/>
      <c r="ES944" s="25"/>
      <c r="ET944" s="25"/>
      <c r="EU944" s="25"/>
      <c r="EV944" s="25"/>
      <c r="EW944" s="25"/>
      <c r="EX944" s="25"/>
      <c r="EY944" s="25"/>
      <c r="EZ944" s="25"/>
      <c r="FA944" s="25"/>
      <c r="FB944" s="25"/>
      <c r="FC944" s="25"/>
      <c r="FD944" s="25"/>
      <c r="FE944" s="25"/>
      <c r="FF944" s="25"/>
      <c r="FG944" s="25"/>
      <c r="FH944" s="25"/>
      <c r="FI944" s="25"/>
      <c r="FJ944" s="25"/>
      <c r="FK944" s="25"/>
      <c r="FL944" s="25"/>
      <c r="FM944" s="25"/>
      <c r="FN944" s="25"/>
      <c r="FO944" s="25"/>
      <c r="FP944" s="25"/>
      <c r="FQ944" s="25"/>
      <c r="FR944" s="25"/>
      <c r="FS944" s="25"/>
      <c r="FT944" s="25"/>
      <c r="FU944" s="25"/>
      <c r="FV944" s="28"/>
      <c r="FW944" s="27"/>
      <c r="FX944" s="27"/>
      <c r="FY944" s="25"/>
      <c r="FZ944" s="25"/>
      <c r="GA944" s="25"/>
      <c r="GB944" s="25"/>
      <c r="GC944" s="25"/>
      <c r="GD944" s="25"/>
      <c r="GE944" s="25"/>
      <c r="GF944" s="25"/>
      <c r="GG944" s="25"/>
      <c r="GH944" s="25"/>
      <c r="GI944" s="25"/>
      <c r="GJ944" s="25"/>
      <c r="GK944" s="25"/>
      <c r="GL944" s="25"/>
      <c r="GM944" s="25"/>
      <c r="GN944" s="25"/>
      <c r="GO944" s="25"/>
      <c r="GP944" s="25"/>
      <c r="GQ944" s="25"/>
      <c r="GR944" s="25"/>
      <c r="GS944" s="25"/>
      <c r="GT944" s="25"/>
      <c r="GU944" s="25"/>
      <c r="GV944" s="25"/>
      <c r="GW944" s="25"/>
      <c r="GX944" s="25"/>
      <c r="GY944" s="25"/>
      <c r="GZ944" s="25"/>
      <c r="HA944" s="25"/>
      <c r="HB944" s="25"/>
      <c r="HC944" s="25"/>
      <c r="HD944" s="25"/>
      <c r="HE944" s="25"/>
      <c r="HF944" s="25"/>
      <c r="HG944" s="25"/>
      <c r="HH944" s="25"/>
      <c r="HI944" s="25"/>
      <c r="HJ944" s="25"/>
      <c r="HK944" s="25"/>
      <c r="HL944" s="25"/>
    </row>
    <row r="945" spans="1:220" ht="15.75" customHeight="1" x14ac:dyDescent="0.2">
      <c r="A945" s="25"/>
      <c r="B945" s="29"/>
      <c r="C945" s="26"/>
      <c r="D945" s="29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  <c r="CI945" s="25"/>
      <c r="CJ945" s="25"/>
      <c r="CK945" s="25"/>
      <c r="CL945" s="25"/>
      <c r="CM945" s="25"/>
      <c r="CN945" s="25"/>
      <c r="CO945" s="25"/>
      <c r="CP945" s="25"/>
      <c r="CQ945" s="25"/>
      <c r="CR945" s="25"/>
      <c r="CS945" s="25"/>
      <c r="CT945" s="25"/>
      <c r="CU945" s="25"/>
      <c r="CV945" s="25"/>
      <c r="CW945" s="25"/>
      <c r="CX945" s="25"/>
      <c r="CY945" s="25"/>
      <c r="CZ945" s="25"/>
      <c r="DA945" s="25"/>
      <c r="DB945" s="25"/>
      <c r="DC945" s="25"/>
      <c r="DD945" s="25"/>
      <c r="DE945" s="25"/>
      <c r="DF945" s="25"/>
      <c r="DG945" s="25"/>
      <c r="DH945" s="25"/>
      <c r="DI945" s="25"/>
      <c r="DJ945" s="25"/>
      <c r="DK945" s="25"/>
      <c r="DL945" s="25"/>
      <c r="DM945" s="25"/>
      <c r="DN945" s="25"/>
      <c r="DO945" s="25"/>
      <c r="DP945" s="25"/>
      <c r="DQ945" s="25"/>
      <c r="DR945" s="25"/>
      <c r="DS945" s="25"/>
      <c r="DT945" s="25"/>
      <c r="DU945" s="25"/>
      <c r="DV945" s="25"/>
      <c r="DW945" s="25"/>
      <c r="DX945" s="25"/>
      <c r="DY945" s="25"/>
      <c r="DZ945" s="25"/>
      <c r="EA945" s="25"/>
      <c r="EB945" s="25"/>
      <c r="EC945" s="25"/>
      <c r="ED945" s="25"/>
      <c r="EE945" s="25"/>
      <c r="EF945" s="25"/>
      <c r="EG945" s="25"/>
      <c r="EH945" s="25"/>
      <c r="EI945" s="25"/>
      <c r="EJ945" s="25"/>
      <c r="EK945" s="25"/>
      <c r="EL945" s="25"/>
      <c r="EM945" s="25"/>
      <c r="EN945" s="25"/>
      <c r="EO945" s="25"/>
      <c r="EP945" s="25"/>
      <c r="EQ945" s="25"/>
      <c r="ER945" s="25"/>
      <c r="ES945" s="25"/>
      <c r="ET945" s="25"/>
      <c r="EU945" s="25"/>
      <c r="EV945" s="25"/>
      <c r="EW945" s="25"/>
      <c r="EX945" s="25"/>
      <c r="EY945" s="25"/>
      <c r="EZ945" s="25"/>
      <c r="FA945" s="25"/>
      <c r="FB945" s="25"/>
      <c r="FC945" s="25"/>
      <c r="FD945" s="25"/>
      <c r="FE945" s="25"/>
      <c r="FF945" s="25"/>
      <c r="FG945" s="25"/>
      <c r="FH945" s="25"/>
      <c r="FI945" s="25"/>
      <c r="FJ945" s="25"/>
      <c r="FK945" s="25"/>
      <c r="FL945" s="25"/>
      <c r="FM945" s="25"/>
      <c r="FN945" s="25"/>
      <c r="FO945" s="25"/>
      <c r="FP945" s="25"/>
      <c r="FQ945" s="25"/>
      <c r="FR945" s="25"/>
      <c r="FS945" s="25"/>
      <c r="FT945" s="25"/>
      <c r="FU945" s="25"/>
      <c r="FV945" s="28"/>
      <c r="FW945" s="27"/>
      <c r="FX945" s="27"/>
      <c r="FY945" s="25"/>
      <c r="FZ945" s="25"/>
      <c r="GA945" s="25"/>
      <c r="GB945" s="25"/>
      <c r="GC945" s="25"/>
      <c r="GD945" s="25"/>
      <c r="GE945" s="25"/>
      <c r="GF945" s="25"/>
      <c r="GG945" s="25"/>
      <c r="GH945" s="25"/>
      <c r="GI945" s="25"/>
      <c r="GJ945" s="25"/>
      <c r="GK945" s="25"/>
      <c r="GL945" s="25"/>
      <c r="GM945" s="25"/>
      <c r="GN945" s="25"/>
      <c r="GO945" s="25"/>
      <c r="GP945" s="25"/>
      <c r="GQ945" s="25"/>
      <c r="GR945" s="25"/>
      <c r="GS945" s="25"/>
      <c r="GT945" s="25"/>
      <c r="GU945" s="25"/>
      <c r="GV945" s="25"/>
      <c r="GW945" s="25"/>
      <c r="GX945" s="25"/>
      <c r="GY945" s="25"/>
      <c r="GZ945" s="25"/>
      <c r="HA945" s="25"/>
      <c r="HB945" s="25"/>
      <c r="HC945" s="25"/>
      <c r="HD945" s="25"/>
      <c r="HE945" s="25"/>
      <c r="HF945" s="25"/>
      <c r="HG945" s="25"/>
      <c r="HH945" s="25"/>
      <c r="HI945" s="25"/>
      <c r="HJ945" s="25"/>
      <c r="HK945" s="25"/>
      <c r="HL945" s="25"/>
    </row>
    <row r="946" spans="1:220" ht="15.75" customHeight="1" x14ac:dyDescent="0.2">
      <c r="A946" s="25"/>
      <c r="B946" s="29"/>
      <c r="C946" s="26"/>
      <c r="D946" s="29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  <c r="CI946" s="25"/>
      <c r="CJ946" s="25"/>
      <c r="CK946" s="25"/>
      <c r="CL946" s="25"/>
      <c r="CM946" s="25"/>
      <c r="CN946" s="25"/>
      <c r="CO946" s="25"/>
      <c r="CP946" s="25"/>
      <c r="CQ946" s="25"/>
      <c r="CR946" s="25"/>
      <c r="CS946" s="25"/>
      <c r="CT946" s="25"/>
      <c r="CU946" s="25"/>
      <c r="CV946" s="25"/>
      <c r="CW946" s="25"/>
      <c r="CX946" s="25"/>
      <c r="CY946" s="25"/>
      <c r="CZ946" s="25"/>
      <c r="DA946" s="25"/>
      <c r="DB946" s="25"/>
      <c r="DC946" s="25"/>
      <c r="DD946" s="25"/>
      <c r="DE946" s="25"/>
      <c r="DF946" s="25"/>
      <c r="DG946" s="25"/>
      <c r="DH946" s="25"/>
      <c r="DI946" s="25"/>
      <c r="DJ946" s="25"/>
      <c r="DK946" s="25"/>
      <c r="DL946" s="25"/>
      <c r="DM946" s="25"/>
      <c r="DN946" s="25"/>
      <c r="DO946" s="25"/>
      <c r="DP946" s="25"/>
      <c r="DQ946" s="25"/>
      <c r="DR946" s="25"/>
      <c r="DS946" s="25"/>
      <c r="DT946" s="25"/>
      <c r="DU946" s="25"/>
      <c r="DV946" s="25"/>
      <c r="DW946" s="25"/>
      <c r="DX946" s="25"/>
      <c r="DY946" s="25"/>
      <c r="DZ946" s="25"/>
      <c r="EA946" s="25"/>
      <c r="EB946" s="25"/>
      <c r="EC946" s="25"/>
      <c r="ED946" s="25"/>
      <c r="EE946" s="25"/>
      <c r="EF946" s="25"/>
      <c r="EG946" s="25"/>
      <c r="EH946" s="25"/>
      <c r="EI946" s="25"/>
      <c r="EJ946" s="25"/>
      <c r="EK946" s="25"/>
      <c r="EL946" s="25"/>
      <c r="EM946" s="25"/>
      <c r="EN946" s="25"/>
      <c r="EO946" s="25"/>
      <c r="EP946" s="25"/>
      <c r="EQ946" s="25"/>
      <c r="ER946" s="25"/>
      <c r="ES946" s="25"/>
      <c r="ET946" s="25"/>
      <c r="EU946" s="25"/>
      <c r="EV946" s="25"/>
      <c r="EW946" s="25"/>
      <c r="EX946" s="25"/>
      <c r="EY946" s="25"/>
      <c r="EZ946" s="25"/>
      <c r="FA946" s="25"/>
      <c r="FB946" s="25"/>
      <c r="FC946" s="25"/>
      <c r="FD946" s="25"/>
      <c r="FE946" s="25"/>
      <c r="FF946" s="25"/>
      <c r="FG946" s="25"/>
      <c r="FH946" s="25"/>
      <c r="FI946" s="25"/>
      <c r="FJ946" s="25"/>
      <c r="FK946" s="25"/>
      <c r="FL946" s="25"/>
      <c r="FM946" s="25"/>
      <c r="FN946" s="25"/>
      <c r="FO946" s="25"/>
      <c r="FP946" s="25"/>
      <c r="FQ946" s="25"/>
      <c r="FR946" s="25"/>
      <c r="FS946" s="25"/>
      <c r="FT946" s="25"/>
      <c r="FU946" s="25"/>
      <c r="FV946" s="28"/>
      <c r="FW946" s="27"/>
      <c r="FX946" s="27"/>
      <c r="FY946" s="25"/>
      <c r="FZ946" s="25"/>
      <c r="GA946" s="25"/>
      <c r="GB946" s="25"/>
      <c r="GC946" s="25"/>
      <c r="GD946" s="25"/>
      <c r="GE946" s="25"/>
      <c r="GF946" s="25"/>
      <c r="GG946" s="25"/>
      <c r="GH946" s="25"/>
      <c r="GI946" s="25"/>
      <c r="GJ946" s="25"/>
      <c r="GK946" s="25"/>
      <c r="GL946" s="25"/>
      <c r="GM946" s="25"/>
      <c r="GN946" s="25"/>
      <c r="GO946" s="25"/>
      <c r="GP946" s="25"/>
      <c r="GQ946" s="25"/>
      <c r="GR946" s="25"/>
      <c r="GS946" s="25"/>
      <c r="GT946" s="25"/>
      <c r="GU946" s="25"/>
      <c r="GV946" s="25"/>
      <c r="GW946" s="25"/>
      <c r="GX946" s="25"/>
      <c r="GY946" s="25"/>
      <c r="GZ946" s="25"/>
      <c r="HA946" s="25"/>
      <c r="HB946" s="25"/>
      <c r="HC946" s="25"/>
      <c r="HD946" s="25"/>
      <c r="HE946" s="25"/>
      <c r="HF946" s="25"/>
      <c r="HG946" s="25"/>
      <c r="HH946" s="25"/>
      <c r="HI946" s="25"/>
      <c r="HJ946" s="25"/>
      <c r="HK946" s="25"/>
      <c r="HL946" s="25"/>
    </row>
    <row r="947" spans="1:220" ht="15.75" customHeight="1" x14ac:dyDescent="0.2">
      <c r="A947" s="25"/>
      <c r="B947" s="29"/>
      <c r="C947" s="26"/>
      <c r="D947" s="29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  <c r="CI947" s="25"/>
      <c r="CJ947" s="25"/>
      <c r="CK947" s="25"/>
      <c r="CL947" s="25"/>
      <c r="CM947" s="25"/>
      <c r="CN947" s="25"/>
      <c r="CO947" s="25"/>
      <c r="CP947" s="25"/>
      <c r="CQ947" s="25"/>
      <c r="CR947" s="25"/>
      <c r="CS947" s="25"/>
      <c r="CT947" s="25"/>
      <c r="CU947" s="25"/>
      <c r="CV947" s="25"/>
      <c r="CW947" s="25"/>
      <c r="CX947" s="25"/>
      <c r="CY947" s="25"/>
      <c r="CZ947" s="25"/>
      <c r="DA947" s="25"/>
      <c r="DB947" s="25"/>
      <c r="DC947" s="25"/>
      <c r="DD947" s="25"/>
      <c r="DE947" s="25"/>
      <c r="DF947" s="25"/>
      <c r="DG947" s="25"/>
      <c r="DH947" s="25"/>
      <c r="DI947" s="25"/>
      <c r="DJ947" s="25"/>
      <c r="DK947" s="25"/>
      <c r="DL947" s="25"/>
      <c r="DM947" s="25"/>
      <c r="DN947" s="25"/>
      <c r="DO947" s="25"/>
      <c r="DP947" s="25"/>
      <c r="DQ947" s="25"/>
      <c r="DR947" s="25"/>
      <c r="DS947" s="25"/>
      <c r="DT947" s="25"/>
      <c r="DU947" s="25"/>
      <c r="DV947" s="25"/>
      <c r="DW947" s="25"/>
      <c r="DX947" s="25"/>
      <c r="DY947" s="25"/>
      <c r="DZ947" s="25"/>
      <c r="EA947" s="25"/>
      <c r="EB947" s="25"/>
      <c r="EC947" s="25"/>
      <c r="ED947" s="25"/>
      <c r="EE947" s="25"/>
      <c r="EF947" s="25"/>
      <c r="EG947" s="25"/>
      <c r="EH947" s="25"/>
      <c r="EI947" s="25"/>
      <c r="EJ947" s="25"/>
      <c r="EK947" s="25"/>
      <c r="EL947" s="25"/>
      <c r="EM947" s="25"/>
      <c r="EN947" s="25"/>
      <c r="EO947" s="25"/>
      <c r="EP947" s="25"/>
      <c r="EQ947" s="25"/>
      <c r="ER947" s="25"/>
      <c r="ES947" s="25"/>
      <c r="ET947" s="25"/>
      <c r="EU947" s="25"/>
      <c r="EV947" s="25"/>
      <c r="EW947" s="25"/>
      <c r="EX947" s="25"/>
      <c r="EY947" s="25"/>
      <c r="EZ947" s="25"/>
      <c r="FA947" s="25"/>
      <c r="FB947" s="25"/>
      <c r="FC947" s="25"/>
      <c r="FD947" s="25"/>
      <c r="FE947" s="25"/>
      <c r="FF947" s="25"/>
      <c r="FG947" s="25"/>
      <c r="FH947" s="25"/>
      <c r="FI947" s="25"/>
      <c r="FJ947" s="25"/>
      <c r="FK947" s="25"/>
      <c r="FL947" s="25"/>
      <c r="FM947" s="25"/>
      <c r="FN947" s="25"/>
      <c r="FO947" s="25"/>
      <c r="FP947" s="25"/>
      <c r="FQ947" s="25"/>
      <c r="FR947" s="25"/>
      <c r="FS947" s="25"/>
      <c r="FT947" s="25"/>
      <c r="FU947" s="25"/>
      <c r="FV947" s="28"/>
      <c r="FW947" s="27"/>
      <c r="FX947" s="27"/>
      <c r="FY947" s="25"/>
      <c r="FZ947" s="25"/>
      <c r="GA947" s="25"/>
      <c r="GB947" s="25"/>
      <c r="GC947" s="25"/>
      <c r="GD947" s="25"/>
      <c r="GE947" s="25"/>
      <c r="GF947" s="25"/>
      <c r="GG947" s="25"/>
      <c r="GH947" s="25"/>
      <c r="GI947" s="25"/>
      <c r="GJ947" s="25"/>
      <c r="GK947" s="25"/>
      <c r="GL947" s="25"/>
      <c r="GM947" s="25"/>
      <c r="GN947" s="25"/>
      <c r="GO947" s="25"/>
      <c r="GP947" s="25"/>
      <c r="GQ947" s="25"/>
      <c r="GR947" s="25"/>
      <c r="GS947" s="25"/>
      <c r="GT947" s="25"/>
      <c r="GU947" s="25"/>
      <c r="GV947" s="25"/>
      <c r="GW947" s="25"/>
      <c r="GX947" s="25"/>
      <c r="GY947" s="25"/>
      <c r="GZ947" s="25"/>
      <c r="HA947" s="25"/>
      <c r="HB947" s="25"/>
      <c r="HC947" s="25"/>
      <c r="HD947" s="25"/>
      <c r="HE947" s="25"/>
      <c r="HF947" s="25"/>
      <c r="HG947" s="25"/>
      <c r="HH947" s="25"/>
      <c r="HI947" s="25"/>
      <c r="HJ947" s="25"/>
      <c r="HK947" s="25"/>
      <c r="HL947" s="25"/>
    </row>
    <row r="948" spans="1:220" ht="15.75" customHeight="1" x14ac:dyDescent="0.2">
      <c r="A948" s="25"/>
      <c r="B948" s="29"/>
      <c r="C948" s="26"/>
      <c r="D948" s="29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25"/>
      <c r="CF948" s="25"/>
      <c r="CG948" s="25"/>
      <c r="CH948" s="25"/>
      <c r="CI948" s="25"/>
      <c r="CJ948" s="25"/>
      <c r="CK948" s="25"/>
      <c r="CL948" s="25"/>
      <c r="CM948" s="25"/>
      <c r="CN948" s="25"/>
      <c r="CO948" s="25"/>
      <c r="CP948" s="25"/>
      <c r="CQ948" s="25"/>
      <c r="CR948" s="25"/>
      <c r="CS948" s="25"/>
      <c r="CT948" s="25"/>
      <c r="CU948" s="25"/>
      <c r="CV948" s="25"/>
      <c r="CW948" s="25"/>
      <c r="CX948" s="25"/>
      <c r="CY948" s="25"/>
      <c r="CZ948" s="25"/>
      <c r="DA948" s="25"/>
      <c r="DB948" s="25"/>
      <c r="DC948" s="25"/>
      <c r="DD948" s="25"/>
      <c r="DE948" s="25"/>
      <c r="DF948" s="25"/>
      <c r="DG948" s="25"/>
      <c r="DH948" s="25"/>
      <c r="DI948" s="25"/>
      <c r="DJ948" s="25"/>
      <c r="DK948" s="25"/>
      <c r="DL948" s="25"/>
      <c r="DM948" s="25"/>
      <c r="DN948" s="25"/>
      <c r="DO948" s="25"/>
      <c r="DP948" s="25"/>
      <c r="DQ948" s="25"/>
      <c r="DR948" s="25"/>
      <c r="DS948" s="25"/>
      <c r="DT948" s="25"/>
      <c r="DU948" s="25"/>
      <c r="DV948" s="25"/>
      <c r="DW948" s="25"/>
      <c r="DX948" s="25"/>
      <c r="DY948" s="25"/>
      <c r="DZ948" s="25"/>
      <c r="EA948" s="25"/>
      <c r="EB948" s="25"/>
      <c r="EC948" s="25"/>
      <c r="ED948" s="25"/>
      <c r="EE948" s="25"/>
      <c r="EF948" s="25"/>
      <c r="EG948" s="25"/>
      <c r="EH948" s="25"/>
      <c r="EI948" s="25"/>
      <c r="EJ948" s="25"/>
      <c r="EK948" s="25"/>
      <c r="EL948" s="25"/>
      <c r="EM948" s="25"/>
      <c r="EN948" s="25"/>
      <c r="EO948" s="25"/>
      <c r="EP948" s="25"/>
      <c r="EQ948" s="25"/>
      <c r="ER948" s="25"/>
      <c r="ES948" s="25"/>
      <c r="ET948" s="25"/>
      <c r="EU948" s="25"/>
      <c r="EV948" s="25"/>
      <c r="EW948" s="25"/>
      <c r="EX948" s="25"/>
      <c r="EY948" s="25"/>
      <c r="EZ948" s="25"/>
      <c r="FA948" s="25"/>
      <c r="FB948" s="25"/>
      <c r="FC948" s="25"/>
      <c r="FD948" s="25"/>
      <c r="FE948" s="25"/>
      <c r="FF948" s="25"/>
      <c r="FG948" s="25"/>
      <c r="FH948" s="25"/>
      <c r="FI948" s="25"/>
      <c r="FJ948" s="25"/>
      <c r="FK948" s="25"/>
      <c r="FL948" s="25"/>
      <c r="FM948" s="25"/>
      <c r="FN948" s="25"/>
      <c r="FO948" s="25"/>
      <c r="FP948" s="25"/>
      <c r="FQ948" s="25"/>
      <c r="FR948" s="25"/>
      <c r="FS948" s="25"/>
      <c r="FT948" s="25"/>
      <c r="FU948" s="25"/>
      <c r="FV948" s="28"/>
      <c r="FW948" s="27"/>
      <c r="FX948" s="27"/>
      <c r="FY948" s="25"/>
      <c r="FZ948" s="25"/>
      <c r="GA948" s="25"/>
      <c r="GB948" s="25"/>
      <c r="GC948" s="25"/>
      <c r="GD948" s="25"/>
      <c r="GE948" s="25"/>
      <c r="GF948" s="25"/>
      <c r="GG948" s="25"/>
      <c r="GH948" s="25"/>
      <c r="GI948" s="25"/>
      <c r="GJ948" s="25"/>
      <c r="GK948" s="25"/>
      <c r="GL948" s="25"/>
      <c r="GM948" s="25"/>
      <c r="GN948" s="25"/>
      <c r="GO948" s="25"/>
      <c r="GP948" s="25"/>
      <c r="GQ948" s="25"/>
      <c r="GR948" s="25"/>
      <c r="GS948" s="25"/>
      <c r="GT948" s="25"/>
      <c r="GU948" s="25"/>
      <c r="GV948" s="25"/>
      <c r="GW948" s="25"/>
      <c r="GX948" s="25"/>
      <c r="GY948" s="25"/>
      <c r="GZ948" s="25"/>
      <c r="HA948" s="25"/>
      <c r="HB948" s="25"/>
      <c r="HC948" s="25"/>
      <c r="HD948" s="25"/>
      <c r="HE948" s="25"/>
      <c r="HF948" s="25"/>
      <c r="HG948" s="25"/>
      <c r="HH948" s="25"/>
      <c r="HI948" s="25"/>
      <c r="HJ948" s="25"/>
      <c r="HK948" s="25"/>
      <c r="HL948" s="25"/>
    </row>
    <row r="949" spans="1:220" ht="15.75" customHeight="1" x14ac:dyDescent="0.2">
      <c r="A949" s="25"/>
      <c r="B949" s="29"/>
      <c r="C949" s="26"/>
      <c r="D949" s="29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  <c r="CI949" s="25"/>
      <c r="CJ949" s="25"/>
      <c r="CK949" s="25"/>
      <c r="CL949" s="25"/>
      <c r="CM949" s="25"/>
      <c r="CN949" s="25"/>
      <c r="CO949" s="25"/>
      <c r="CP949" s="25"/>
      <c r="CQ949" s="25"/>
      <c r="CR949" s="25"/>
      <c r="CS949" s="25"/>
      <c r="CT949" s="25"/>
      <c r="CU949" s="25"/>
      <c r="CV949" s="25"/>
      <c r="CW949" s="25"/>
      <c r="CX949" s="25"/>
      <c r="CY949" s="25"/>
      <c r="CZ949" s="25"/>
      <c r="DA949" s="25"/>
      <c r="DB949" s="25"/>
      <c r="DC949" s="25"/>
      <c r="DD949" s="25"/>
      <c r="DE949" s="25"/>
      <c r="DF949" s="25"/>
      <c r="DG949" s="25"/>
      <c r="DH949" s="25"/>
      <c r="DI949" s="25"/>
      <c r="DJ949" s="25"/>
      <c r="DK949" s="25"/>
      <c r="DL949" s="25"/>
      <c r="DM949" s="25"/>
      <c r="DN949" s="25"/>
      <c r="DO949" s="25"/>
      <c r="DP949" s="25"/>
      <c r="DQ949" s="25"/>
      <c r="DR949" s="25"/>
      <c r="DS949" s="25"/>
      <c r="DT949" s="25"/>
      <c r="DU949" s="25"/>
      <c r="DV949" s="25"/>
      <c r="DW949" s="25"/>
      <c r="DX949" s="25"/>
      <c r="DY949" s="25"/>
      <c r="DZ949" s="25"/>
      <c r="EA949" s="25"/>
      <c r="EB949" s="25"/>
      <c r="EC949" s="25"/>
      <c r="ED949" s="25"/>
      <c r="EE949" s="25"/>
      <c r="EF949" s="25"/>
      <c r="EG949" s="25"/>
      <c r="EH949" s="25"/>
      <c r="EI949" s="25"/>
      <c r="EJ949" s="25"/>
      <c r="EK949" s="25"/>
      <c r="EL949" s="25"/>
      <c r="EM949" s="25"/>
      <c r="EN949" s="25"/>
      <c r="EO949" s="25"/>
      <c r="EP949" s="25"/>
      <c r="EQ949" s="25"/>
      <c r="ER949" s="25"/>
      <c r="ES949" s="25"/>
      <c r="ET949" s="25"/>
      <c r="EU949" s="25"/>
      <c r="EV949" s="25"/>
      <c r="EW949" s="25"/>
      <c r="EX949" s="25"/>
      <c r="EY949" s="25"/>
      <c r="EZ949" s="25"/>
      <c r="FA949" s="25"/>
      <c r="FB949" s="25"/>
      <c r="FC949" s="25"/>
      <c r="FD949" s="25"/>
      <c r="FE949" s="25"/>
      <c r="FF949" s="25"/>
      <c r="FG949" s="25"/>
      <c r="FH949" s="25"/>
      <c r="FI949" s="25"/>
      <c r="FJ949" s="25"/>
      <c r="FK949" s="25"/>
      <c r="FL949" s="25"/>
      <c r="FM949" s="25"/>
      <c r="FN949" s="25"/>
      <c r="FO949" s="25"/>
      <c r="FP949" s="25"/>
      <c r="FQ949" s="25"/>
      <c r="FR949" s="25"/>
      <c r="FS949" s="25"/>
      <c r="FT949" s="25"/>
      <c r="FU949" s="25"/>
      <c r="FV949" s="28"/>
      <c r="FW949" s="27"/>
      <c r="FX949" s="27"/>
      <c r="FY949" s="25"/>
      <c r="FZ949" s="25"/>
      <c r="GA949" s="25"/>
      <c r="GB949" s="25"/>
      <c r="GC949" s="25"/>
      <c r="GD949" s="25"/>
      <c r="GE949" s="25"/>
      <c r="GF949" s="25"/>
      <c r="GG949" s="25"/>
      <c r="GH949" s="25"/>
      <c r="GI949" s="25"/>
      <c r="GJ949" s="25"/>
      <c r="GK949" s="25"/>
      <c r="GL949" s="25"/>
      <c r="GM949" s="25"/>
      <c r="GN949" s="25"/>
      <c r="GO949" s="25"/>
      <c r="GP949" s="25"/>
      <c r="GQ949" s="25"/>
      <c r="GR949" s="25"/>
      <c r="GS949" s="25"/>
      <c r="GT949" s="25"/>
      <c r="GU949" s="25"/>
      <c r="GV949" s="25"/>
      <c r="GW949" s="25"/>
      <c r="GX949" s="25"/>
      <c r="GY949" s="25"/>
      <c r="GZ949" s="25"/>
      <c r="HA949" s="25"/>
      <c r="HB949" s="25"/>
      <c r="HC949" s="25"/>
      <c r="HD949" s="25"/>
      <c r="HE949" s="25"/>
      <c r="HF949" s="25"/>
      <c r="HG949" s="25"/>
      <c r="HH949" s="25"/>
      <c r="HI949" s="25"/>
      <c r="HJ949" s="25"/>
      <c r="HK949" s="25"/>
      <c r="HL949" s="25"/>
    </row>
    <row r="950" spans="1:220" ht="15.75" customHeight="1" x14ac:dyDescent="0.2">
      <c r="A950" s="25"/>
      <c r="B950" s="29"/>
      <c r="C950" s="26"/>
      <c r="D950" s="29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  <c r="CC950" s="25"/>
      <c r="CD950" s="25"/>
      <c r="CE950" s="25"/>
      <c r="CF950" s="25"/>
      <c r="CG950" s="25"/>
      <c r="CH950" s="25"/>
      <c r="CI950" s="25"/>
      <c r="CJ950" s="25"/>
      <c r="CK950" s="25"/>
      <c r="CL950" s="25"/>
      <c r="CM950" s="25"/>
      <c r="CN950" s="25"/>
      <c r="CO950" s="25"/>
      <c r="CP950" s="25"/>
      <c r="CQ950" s="25"/>
      <c r="CR950" s="25"/>
      <c r="CS950" s="25"/>
      <c r="CT950" s="25"/>
      <c r="CU950" s="25"/>
      <c r="CV950" s="25"/>
      <c r="CW950" s="25"/>
      <c r="CX950" s="25"/>
      <c r="CY950" s="25"/>
      <c r="CZ950" s="25"/>
      <c r="DA950" s="25"/>
      <c r="DB950" s="25"/>
      <c r="DC950" s="25"/>
      <c r="DD950" s="25"/>
      <c r="DE950" s="25"/>
      <c r="DF950" s="25"/>
      <c r="DG950" s="25"/>
      <c r="DH950" s="25"/>
      <c r="DI950" s="25"/>
      <c r="DJ950" s="25"/>
      <c r="DK950" s="25"/>
      <c r="DL950" s="25"/>
      <c r="DM950" s="25"/>
      <c r="DN950" s="25"/>
      <c r="DO950" s="25"/>
      <c r="DP950" s="25"/>
      <c r="DQ950" s="25"/>
      <c r="DR950" s="25"/>
      <c r="DS950" s="25"/>
      <c r="DT950" s="25"/>
      <c r="DU950" s="25"/>
      <c r="DV950" s="25"/>
      <c r="DW950" s="25"/>
      <c r="DX950" s="25"/>
      <c r="DY950" s="25"/>
      <c r="DZ950" s="25"/>
      <c r="EA950" s="25"/>
      <c r="EB950" s="25"/>
      <c r="EC950" s="25"/>
      <c r="ED950" s="25"/>
      <c r="EE950" s="25"/>
      <c r="EF950" s="25"/>
      <c r="EG950" s="25"/>
      <c r="EH950" s="25"/>
      <c r="EI950" s="25"/>
      <c r="EJ950" s="25"/>
      <c r="EK950" s="25"/>
      <c r="EL950" s="25"/>
      <c r="EM950" s="25"/>
      <c r="EN950" s="25"/>
      <c r="EO950" s="25"/>
      <c r="EP950" s="25"/>
      <c r="EQ950" s="25"/>
      <c r="ER950" s="25"/>
      <c r="ES950" s="25"/>
      <c r="ET950" s="25"/>
      <c r="EU950" s="25"/>
      <c r="EV950" s="25"/>
      <c r="EW950" s="25"/>
      <c r="EX950" s="25"/>
      <c r="EY950" s="25"/>
      <c r="EZ950" s="25"/>
      <c r="FA950" s="25"/>
      <c r="FB950" s="25"/>
      <c r="FC950" s="25"/>
      <c r="FD950" s="25"/>
      <c r="FE950" s="25"/>
      <c r="FF950" s="25"/>
      <c r="FG950" s="25"/>
      <c r="FH950" s="25"/>
      <c r="FI950" s="25"/>
      <c r="FJ950" s="25"/>
      <c r="FK950" s="25"/>
      <c r="FL950" s="25"/>
      <c r="FM950" s="25"/>
      <c r="FN950" s="25"/>
      <c r="FO950" s="25"/>
      <c r="FP950" s="25"/>
      <c r="FQ950" s="25"/>
      <c r="FR950" s="25"/>
      <c r="FS950" s="25"/>
      <c r="FT950" s="25"/>
      <c r="FU950" s="25"/>
      <c r="FV950" s="28"/>
      <c r="FW950" s="27"/>
      <c r="FX950" s="27"/>
      <c r="FY950" s="25"/>
      <c r="FZ950" s="25"/>
      <c r="GA950" s="25"/>
      <c r="GB950" s="25"/>
      <c r="GC950" s="25"/>
      <c r="GD950" s="25"/>
      <c r="GE950" s="25"/>
      <c r="GF950" s="25"/>
      <c r="GG950" s="25"/>
      <c r="GH950" s="25"/>
      <c r="GI950" s="25"/>
      <c r="GJ950" s="25"/>
      <c r="GK950" s="25"/>
      <c r="GL950" s="25"/>
      <c r="GM950" s="25"/>
      <c r="GN950" s="25"/>
      <c r="GO950" s="25"/>
      <c r="GP950" s="25"/>
      <c r="GQ950" s="25"/>
      <c r="GR950" s="25"/>
      <c r="GS950" s="25"/>
      <c r="GT950" s="25"/>
      <c r="GU950" s="25"/>
      <c r="GV950" s="25"/>
      <c r="GW950" s="25"/>
      <c r="GX950" s="25"/>
      <c r="GY950" s="25"/>
      <c r="GZ950" s="25"/>
      <c r="HA950" s="25"/>
      <c r="HB950" s="25"/>
      <c r="HC950" s="25"/>
      <c r="HD950" s="25"/>
      <c r="HE950" s="25"/>
      <c r="HF950" s="25"/>
      <c r="HG950" s="25"/>
      <c r="HH950" s="25"/>
      <c r="HI950" s="25"/>
      <c r="HJ950" s="25"/>
      <c r="HK950" s="25"/>
      <c r="HL950" s="25"/>
    </row>
    <row r="951" spans="1:220" ht="15.75" customHeight="1" x14ac:dyDescent="0.2">
      <c r="A951" s="25"/>
      <c r="B951" s="29"/>
      <c r="C951" s="26"/>
      <c r="D951" s="29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  <c r="CI951" s="25"/>
      <c r="CJ951" s="25"/>
      <c r="CK951" s="25"/>
      <c r="CL951" s="25"/>
      <c r="CM951" s="25"/>
      <c r="CN951" s="25"/>
      <c r="CO951" s="25"/>
      <c r="CP951" s="25"/>
      <c r="CQ951" s="25"/>
      <c r="CR951" s="25"/>
      <c r="CS951" s="25"/>
      <c r="CT951" s="25"/>
      <c r="CU951" s="25"/>
      <c r="CV951" s="25"/>
      <c r="CW951" s="25"/>
      <c r="CX951" s="25"/>
      <c r="CY951" s="25"/>
      <c r="CZ951" s="25"/>
      <c r="DA951" s="25"/>
      <c r="DB951" s="25"/>
      <c r="DC951" s="25"/>
      <c r="DD951" s="25"/>
      <c r="DE951" s="25"/>
      <c r="DF951" s="25"/>
      <c r="DG951" s="25"/>
      <c r="DH951" s="25"/>
      <c r="DI951" s="25"/>
      <c r="DJ951" s="25"/>
      <c r="DK951" s="25"/>
      <c r="DL951" s="25"/>
      <c r="DM951" s="25"/>
      <c r="DN951" s="25"/>
      <c r="DO951" s="25"/>
      <c r="DP951" s="25"/>
      <c r="DQ951" s="25"/>
      <c r="DR951" s="25"/>
      <c r="DS951" s="25"/>
      <c r="DT951" s="25"/>
      <c r="DU951" s="25"/>
      <c r="DV951" s="25"/>
      <c r="DW951" s="25"/>
      <c r="DX951" s="25"/>
      <c r="DY951" s="25"/>
      <c r="DZ951" s="25"/>
      <c r="EA951" s="25"/>
      <c r="EB951" s="25"/>
      <c r="EC951" s="25"/>
      <c r="ED951" s="25"/>
      <c r="EE951" s="25"/>
      <c r="EF951" s="25"/>
      <c r="EG951" s="25"/>
      <c r="EH951" s="25"/>
      <c r="EI951" s="25"/>
      <c r="EJ951" s="25"/>
      <c r="EK951" s="25"/>
      <c r="EL951" s="25"/>
      <c r="EM951" s="25"/>
      <c r="EN951" s="25"/>
      <c r="EO951" s="25"/>
      <c r="EP951" s="25"/>
      <c r="EQ951" s="25"/>
      <c r="ER951" s="25"/>
      <c r="ES951" s="25"/>
      <c r="ET951" s="25"/>
      <c r="EU951" s="25"/>
      <c r="EV951" s="25"/>
      <c r="EW951" s="25"/>
      <c r="EX951" s="25"/>
      <c r="EY951" s="25"/>
      <c r="EZ951" s="25"/>
      <c r="FA951" s="25"/>
      <c r="FB951" s="25"/>
      <c r="FC951" s="25"/>
      <c r="FD951" s="25"/>
      <c r="FE951" s="25"/>
      <c r="FF951" s="25"/>
      <c r="FG951" s="25"/>
      <c r="FH951" s="25"/>
      <c r="FI951" s="25"/>
      <c r="FJ951" s="25"/>
      <c r="FK951" s="25"/>
      <c r="FL951" s="25"/>
      <c r="FM951" s="25"/>
      <c r="FN951" s="25"/>
      <c r="FO951" s="25"/>
      <c r="FP951" s="25"/>
      <c r="FQ951" s="25"/>
      <c r="FR951" s="25"/>
      <c r="FS951" s="25"/>
      <c r="FT951" s="25"/>
      <c r="FU951" s="25"/>
      <c r="FV951" s="28"/>
      <c r="FW951" s="27"/>
      <c r="FX951" s="27"/>
      <c r="FY951" s="25"/>
      <c r="FZ951" s="25"/>
      <c r="GA951" s="25"/>
      <c r="GB951" s="25"/>
      <c r="GC951" s="25"/>
      <c r="GD951" s="25"/>
      <c r="GE951" s="25"/>
      <c r="GF951" s="25"/>
      <c r="GG951" s="25"/>
      <c r="GH951" s="25"/>
      <c r="GI951" s="25"/>
      <c r="GJ951" s="25"/>
      <c r="GK951" s="25"/>
      <c r="GL951" s="25"/>
      <c r="GM951" s="25"/>
      <c r="GN951" s="25"/>
      <c r="GO951" s="25"/>
      <c r="GP951" s="25"/>
      <c r="GQ951" s="25"/>
      <c r="GR951" s="25"/>
      <c r="GS951" s="25"/>
      <c r="GT951" s="25"/>
      <c r="GU951" s="25"/>
      <c r="GV951" s="25"/>
      <c r="GW951" s="25"/>
      <c r="GX951" s="25"/>
      <c r="GY951" s="25"/>
      <c r="GZ951" s="25"/>
      <c r="HA951" s="25"/>
      <c r="HB951" s="25"/>
      <c r="HC951" s="25"/>
      <c r="HD951" s="25"/>
      <c r="HE951" s="25"/>
      <c r="HF951" s="25"/>
      <c r="HG951" s="25"/>
      <c r="HH951" s="25"/>
      <c r="HI951" s="25"/>
      <c r="HJ951" s="25"/>
      <c r="HK951" s="25"/>
      <c r="HL951" s="25"/>
    </row>
    <row r="952" spans="1:220" ht="15.75" customHeight="1" x14ac:dyDescent="0.2">
      <c r="A952" s="25"/>
      <c r="B952" s="29"/>
      <c r="C952" s="26"/>
      <c r="D952" s="29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  <c r="CC952" s="25"/>
      <c r="CD952" s="25"/>
      <c r="CE952" s="25"/>
      <c r="CF952" s="25"/>
      <c r="CG952" s="25"/>
      <c r="CH952" s="25"/>
      <c r="CI952" s="25"/>
      <c r="CJ952" s="25"/>
      <c r="CK952" s="25"/>
      <c r="CL952" s="25"/>
      <c r="CM952" s="25"/>
      <c r="CN952" s="25"/>
      <c r="CO952" s="25"/>
      <c r="CP952" s="25"/>
      <c r="CQ952" s="25"/>
      <c r="CR952" s="25"/>
      <c r="CS952" s="25"/>
      <c r="CT952" s="25"/>
      <c r="CU952" s="25"/>
      <c r="CV952" s="25"/>
      <c r="CW952" s="25"/>
      <c r="CX952" s="25"/>
      <c r="CY952" s="25"/>
      <c r="CZ952" s="25"/>
      <c r="DA952" s="25"/>
      <c r="DB952" s="25"/>
      <c r="DC952" s="25"/>
      <c r="DD952" s="25"/>
      <c r="DE952" s="25"/>
      <c r="DF952" s="25"/>
      <c r="DG952" s="25"/>
      <c r="DH952" s="25"/>
      <c r="DI952" s="25"/>
      <c r="DJ952" s="25"/>
      <c r="DK952" s="25"/>
      <c r="DL952" s="25"/>
      <c r="DM952" s="25"/>
      <c r="DN952" s="25"/>
      <c r="DO952" s="25"/>
      <c r="DP952" s="25"/>
      <c r="DQ952" s="25"/>
      <c r="DR952" s="25"/>
      <c r="DS952" s="25"/>
      <c r="DT952" s="25"/>
      <c r="DU952" s="25"/>
      <c r="DV952" s="25"/>
      <c r="DW952" s="25"/>
      <c r="DX952" s="25"/>
      <c r="DY952" s="25"/>
      <c r="DZ952" s="25"/>
      <c r="EA952" s="25"/>
      <c r="EB952" s="25"/>
      <c r="EC952" s="25"/>
      <c r="ED952" s="25"/>
      <c r="EE952" s="25"/>
      <c r="EF952" s="25"/>
      <c r="EG952" s="25"/>
      <c r="EH952" s="25"/>
      <c r="EI952" s="25"/>
      <c r="EJ952" s="25"/>
      <c r="EK952" s="25"/>
      <c r="EL952" s="25"/>
      <c r="EM952" s="25"/>
      <c r="EN952" s="25"/>
      <c r="EO952" s="25"/>
      <c r="EP952" s="25"/>
      <c r="EQ952" s="25"/>
      <c r="ER952" s="25"/>
      <c r="ES952" s="25"/>
      <c r="ET952" s="25"/>
      <c r="EU952" s="25"/>
      <c r="EV952" s="25"/>
      <c r="EW952" s="25"/>
      <c r="EX952" s="25"/>
      <c r="EY952" s="25"/>
      <c r="EZ952" s="25"/>
      <c r="FA952" s="25"/>
      <c r="FB952" s="25"/>
      <c r="FC952" s="25"/>
      <c r="FD952" s="25"/>
      <c r="FE952" s="25"/>
      <c r="FF952" s="25"/>
      <c r="FG952" s="25"/>
      <c r="FH952" s="25"/>
      <c r="FI952" s="25"/>
      <c r="FJ952" s="25"/>
      <c r="FK952" s="25"/>
      <c r="FL952" s="25"/>
      <c r="FM952" s="25"/>
      <c r="FN952" s="25"/>
      <c r="FO952" s="25"/>
      <c r="FP952" s="25"/>
      <c r="FQ952" s="25"/>
      <c r="FR952" s="25"/>
      <c r="FS952" s="25"/>
      <c r="FT952" s="25"/>
      <c r="FU952" s="25"/>
      <c r="FV952" s="28"/>
      <c r="FW952" s="27"/>
      <c r="FX952" s="27"/>
      <c r="FY952" s="25"/>
      <c r="FZ952" s="25"/>
      <c r="GA952" s="25"/>
      <c r="GB952" s="25"/>
      <c r="GC952" s="25"/>
      <c r="GD952" s="25"/>
      <c r="GE952" s="25"/>
      <c r="GF952" s="25"/>
      <c r="GG952" s="25"/>
      <c r="GH952" s="25"/>
      <c r="GI952" s="25"/>
      <c r="GJ952" s="25"/>
      <c r="GK952" s="25"/>
      <c r="GL952" s="25"/>
      <c r="GM952" s="25"/>
      <c r="GN952" s="25"/>
      <c r="GO952" s="25"/>
      <c r="GP952" s="25"/>
      <c r="GQ952" s="25"/>
      <c r="GR952" s="25"/>
      <c r="GS952" s="25"/>
      <c r="GT952" s="25"/>
      <c r="GU952" s="25"/>
      <c r="GV952" s="25"/>
      <c r="GW952" s="25"/>
      <c r="GX952" s="25"/>
      <c r="GY952" s="25"/>
      <c r="GZ952" s="25"/>
      <c r="HA952" s="25"/>
      <c r="HB952" s="25"/>
      <c r="HC952" s="25"/>
      <c r="HD952" s="25"/>
      <c r="HE952" s="25"/>
      <c r="HF952" s="25"/>
      <c r="HG952" s="25"/>
      <c r="HH952" s="25"/>
      <c r="HI952" s="25"/>
      <c r="HJ952" s="25"/>
      <c r="HK952" s="25"/>
      <c r="HL952" s="25"/>
    </row>
    <row r="953" spans="1:220" ht="15.75" customHeight="1" x14ac:dyDescent="0.2">
      <c r="A953" s="25"/>
      <c r="B953" s="29"/>
      <c r="C953" s="26"/>
      <c r="D953" s="29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  <c r="CI953" s="25"/>
      <c r="CJ953" s="25"/>
      <c r="CK953" s="25"/>
      <c r="CL953" s="25"/>
      <c r="CM953" s="25"/>
      <c r="CN953" s="25"/>
      <c r="CO953" s="25"/>
      <c r="CP953" s="25"/>
      <c r="CQ953" s="25"/>
      <c r="CR953" s="25"/>
      <c r="CS953" s="25"/>
      <c r="CT953" s="25"/>
      <c r="CU953" s="25"/>
      <c r="CV953" s="25"/>
      <c r="CW953" s="25"/>
      <c r="CX953" s="25"/>
      <c r="CY953" s="25"/>
      <c r="CZ953" s="25"/>
      <c r="DA953" s="25"/>
      <c r="DB953" s="25"/>
      <c r="DC953" s="25"/>
      <c r="DD953" s="25"/>
      <c r="DE953" s="25"/>
      <c r="DF953" s="25"/>
      <c r="DG953" s="25"/>
      <c r="DH953" s="25"/>
      <c r="DI953" s="25"/>
      <c r="DJ953" s="25"/>
      <c r="DK953" s="25"/>
      <c r="DL953" s="25"/>
      <c r="DM953" s="25"/>
      <c r="DN953" s="25"/>
      <c r="DO953" s="25"/>
      <c r="DP953" s="25"/>
      <c r="DQ953" s="25"/>
      <c r="DR953" s="25"/>
      <c r="DS953" s="25"/>
      <c r="DT953" s="25"/>
      <c r="DU953" s="25"/>
      <c r="DV953" s="25"/>
      <c r="DW953" s="25"/>
      <c r="DX953" s="25"/>
      <c r="DY953" s="25"/>
      <c r="DZ953" s="25"/>
      <c r="EA953" s="25"/>
      <c r="EB953" s="25"/>
      <c r="EC953" s="25"/>
      <c r="ED953" s="25"/>
      <c r="EE953" s="25"/>
      <c r="EF953" s="25"/>
      <c r="EG953" s="25"/>
      <c r="EH953" s="25"/>
      <c r="EI953" s="25"/>
      <c r="EJ953" s="25"/>
      <c r="EK953" s="25"/>
      <c r="EL953" s="25"/>
      <c r="EM953" s="25"/>
      <c r="EN953" s="25"/>
      <c r="EO953" s="25"/>
      <c r="EP953" s="25"/>
      <c r="EQ953" s="25"/>
      <c r="ER953" s="25"/>
      <c r="ES953" s="25"/>
      <c r="ET953" s="25"/>
      <c r="EU953" s="25"/>
      <c r="EV953" s="25"/>
      <c r="EW953" s="25"/>
      <c r="EX953" s="25"/>
      <c r="EY953" s="25"/>
      <c r="EZ953" s="25"/>
      <c r="FA953" s="25"/>
      <c r="FB953" s="25"/>
      <c r="FC953" s="25"/>
      <c r="FD953" s="25"/>
      <c r="FE953" s="25"/>
      <c r="FF953" s="25"/>
      <c r="FG953" s="25"/>
      <c r="FH953" s="25"/>
      <c r="FI953" s="25"/>
      <c r="FJ953" s="25"/>
      <c r="FK953" s="25"/>
      <c r="FL953" s="25"/>
      <c r="FM953" s="25"/>
      <c r="FN953" s="25"/>
      <c r="FO953" s="25"/>
      <c r="FP953" s="25"/>
      <c r="FQ953" s="25"/>
      <c r="FR953" s="25"/>
      <c r="FS953" s="25"/>
      <c r="FT953" s="25"/>
      <c r="FU953" s="25"/>
      <c r="FV953" s="28"/>
      <c r="FW953" s="27"/>
      <c r="FX953" s="27"/>
      <c r="FY953" s="25"/>
      <c r="FZ953" s="25"/>
      <c r="GA953" s="25"/>
      <c r="GB953" s="25"/>
      <c r="GC953" s="25"/>
      <c r="GD953" s="25"/>
      <c r="GE953" s="25"/>
      <c r="GF953" s="25"/>
      <c r="GG953" s="25"/>
      <c r="GH953" s="25"/>
      <c r="GI953" s="25"/>
      <c r="GJ953" s="25"/>
      <c r="GK953" s="25"/>
      <c r="GL953" s="25"/>
      <c r="GM953" s="25"/>
      <c r="GN953" s="25"/>
      <c r="GO953" s="25"/>
      <c r="GP953" s="25"/>
      <c r="GQ953" s="25"/>
      <c r="GR953" s="25"/>
      <c r="GS953" s="25"/>
      <c r="GT953" s="25"/>
      <c r="GU953" s="25"/>
      <c r="GV953" s="25"/>
      <c r="GW953" s="25"/>
      <c r="GX953" s="25"/>
      <c r="GY953" s="25"/>
      <c r="GZ953" s="25"/>
      <c r="HA953" s="25"/>
      <c r="HB953" s="25"/>
      <c r="HC953" s="25"/>
      <c r="HD953" s="25"/>
      <c r="HE953" s="25"/>
      <c r="HF953" s="25"/>
      <c r="HG953" s="25"/>
      <c r="HH953" s="25"/>
      <c r="HI953" s="25"/>
      <c r="HJ953" s="25"/>
      <c r="HK953" s="25"/>
      <c r="HL953" s="25"/>
    </row>
    <row r="954" spans="1:220" ht="15.75" customHeight="1" x14ac:dyDescent="0.2">
      <c r="A954" s="25"/>
      <c r="B954" s="29"/>
      <c r="C954" s="26"/>
      <c r="D954" s="29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  <c r="CC954" s="25"/>
      <c r="CD954" s="25"/>
      <c r="CE954" s="25"/>
      <c r="CF954" s="25"/>
      <c r="CG954" s="25"/>
      <c r="CH954" s="25"/>
      <c r="CI954" s="25"/>
      <c r="CJ954" s="25"/>
      <c r="CK954" s="25"/>
      <c r="CL954" s="25"/>
      <c r="CM954" s="25"/>
      <c r="CN954" s="25"/>
      <c r="CO954" s="25"/>
      <c r="CP954" s="25"/>
      <c r="CQ954" s="25"/>
      <c r="CR954" s="25"/>
      <c r="CS954" s="25"/>
      <c r="CT954" s="25"/>
      <c r="CU954" s="25"/>
      <c r="CV954" s="25"/>
      <c r="CW954" s="25"/>
      <c r="CX954" s="25"/>
      <c r="CY954" s="25"/>
      <c r="CZ954" s="25"/>
      <c r="DA954" s="25"/>
      <c r="DB954" s="25"/>
      <c r="DC954" s="25"/>
      <c r="DD954" s="25"/>
      <c r="DE954" s="25"/>
      <c r="DF954" s="25"/>
      <c r="DG954" s="25"/>
      <c r="DH954" s="25"/>
      <c r="DI954" s="25"/>
      <c r="DJ954" s="25"/>
      <c r="DK954" s="25"/>
      <c r="DL954" s="25"/>
      <c r="DM954" s="25"/>
      <c r="DN954" s="25"/>
      <c r="DO954" s="25"/>
      <c r="DP954" s="25"/>
      <c r="DQ954" s="25"/>
      <c r="DR954" s="25"/>
      <c r="DS954" s="25"/>
      <c r="DT954" s="25"/>
      <c r="DU954" s="25"/>
      <c r="DV954" s="25"/>
      <c r="DW954" s="25"/>
      <c r="DX954" s="25"/>
      <c r="DY954" s="25"/>
      <c r="DZ954" s="25"/>
      <c r="EA954" s="25"/>
      <c r="EB954" s="25"/>
      <c r="EC954" s="25"/>
      <c r="ED954" s="25"/>
      <c r="EE954" s="25"/>
      <c r="EF954" s="25"/>
      <c r="EG954" s="25"/>
      <c r="EH954" s="25"/>
      <c r="EI954" s="25"/>
      <c r="EJ954" s="25"/>
      <c r="EK954" s="25"/>
      <c r="EL954" s="25"/>
      <c r="EM954" s="25"/>
      <c r="EN954" s="25"/>
      <c r="EO954" s="25"/>
      <c r="EP954" s="25"/>
      <c r="EQ954" s="25"/>
      <c r="ER954" s="25"/>
      <c r="ES954" s="25"/>
      <c r="ET954" s="25"/>
      <c r="EU954" s="25"/>
      <c r="EV954" s="25"/>
      <c r="EW954" s="25"/>
      <c r="EX954" s="25"/>
      <c r="EY954" s="25"/>
      <c r="EZ954" s="25"/>
      <c r="FA954" s="25"/>
      <c r="FB954" s="25"/>
      <c r="FC954" s="25"/>
      <c r="FD954" s="25"/>
      <c r="FE954" s="25"/>
      <c r="FF954" s="25"/>
      <c r="FG954" s="25"/>
      <c r="FH954" s="25"/>
      <c r="FI954" s="25"/>
      <c r="FJ954" s="25"/>
      <c r="FK954" s="25"/>
      <c r="FL954" s="25"/>
      <c r="FM954" s="25"/>
      <c r="FN954" s="25"/>
      <c r="FO954" s="25"/>
      <c r="FP954" s="25"/>
      <c r="FQ954" s="25"/>
      <c r="FR954" s="25"/>
      <c r="FS954" s="25"/>
      <c r="FT954" s="25"/>
      <c r="FU954" s="25"/>
      <c r="FV954" s="28"/>
      <c r="FW954" s="27"/>
      <c r="FX954" s="27"/>
      <c r="FY954" s="25"/>
      <c r="FZ954" s="25"/>
      <c r="GA954" s="25"/>
      <c r="GB954" s="25"/>
      <c r="GC954" s="25"/>
      <c r="GD954" s="25"/>
      <c r="GE954" s="25"/>
      <c r="GF954" s="25"/>
      <c r="GG954" s="25"/>
      <c r="GH954" s="25"/>
      <c r="GI954" s="25"/>
      <c r="GJ954" s="25"/>
      <c r="GK954" s="25"/>
      <c r="GL954" s="25"/>
      <c r="GM954" s="25"/>
      <c r="GN954" s="25"/>
      <c r="GO954" s="25"/>
      <c r="GP954" s="25"/>
      <c r="GQ954" s="25"/>
      <c r="GR954" s="25"/>
      <c r="GS954" s="25"/>
      <c r="GT954" s="25"/>
      <c r="GU954" s="25"/>
      <c r="GV954" s="25"/>
      <c r="GW954" s="25"/>
      <c r="GX954" s="25"/>
      <c r="GY954" s="25"/>
      <c r="GZ954" s="25"/>
      <c r="HA954" s="25"/>
      <c r="HB954" s="25"/>
      <c r="HC954" s="25"/>
      <c r="HD954" s="25"/>
      <c r="HE954" s="25"/>
      <c r="HF954" s="25"/>
      <c r="HG954" s="25"/>
      <c r="HH954" s="25"/>
      <c r="HI954" s="25"/>
      <c r="HJ954" s="25"/>
      <c r="HK954" s="25"/>
      <c r="HL954" s="25"/>
    </row>
    <row r="955" spans="1:220" ht="15.75" customHeight="1" x14ac:dyDescent="0.2">
      <c r="A955" s="25"/>
      <c r="B955" s="29"/>
      <c r="C955" s="26"/>
      <c r="D955" s="29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  <c r="CC955" s="25"/>
      <c r="CD955" s="25"/>
      <c r="CE955" s="25"/>
      <c r="CF955" s="25"/>
      <c r="CG955" s="25"/>
      <c r="CH955" s="25"/>
      <c r="CI955" s="25"/>
      <c r="CJ955" s="25"/>
      <c r="CK955" s="25"/>
      <c r="CL955" s="25"/>
      <c r="CM955" s="25"/>
      <c r="CN955" s="25"/>
      <c r="CO955" s="25"/>
      <c r="CP955" s="25"/>
      <c r="CQ955" s="25"/>
      <c r="CR955" s="25"/>
      <c r="CS955" s="25"/>
      <c r="CT955" s="25"/>
      <c r="CU955" s="25"/>
      <c r="CV955" s="25"/>
      <c r="CW955" s="25"/>
      <c r="CX955" s="25"/>
      <c r="CY955" s="25"/>
      <c r="CZ955" s="25"/>
      <c r="DA955" s="25"/>
      <c r="DB955" s="25"/>
      <c r="DC955" s="25"/>
      <c r="DD955" s="25"/>
      <c r="DE955" s="25"/>
      <c r="DF955" s="25"/>
      <c r="DG955" s="25"/>
      <c r="DH955" s="25"/>
      <c r="DI955" s="25"/>
      <c r="DJ955" s="25"/>
      <c r="DK955" s="25"/>
      <c r="DL955" s="25"/>
      <c r="DM955" s="25"/>
      <c r="DN955" s="25"/>
      <c r="DO955" s="25"/>
      <c r="DP955" s="25"/>
      <c r="DQ955" s="25"/>
      <c r="DR955" s="25"/>
      <c r="DS955" s="25"/>
      <c r="DT955" s="25"/>
      <c r="DU955" s="25"/>
      <c r="DV955" s="25"/>
      <c r="DW955" s="25"/>
      <c r="DX955" s="25"/>
      <c r="DY955" s="25"/>
      <c r="DZ955" s="25"/>
      <c r="EA955" s="25"/>
      <c r="EB955" s="25"/>
      <c r="EC955" s="25"/>
      <c r="ED955" s="25"/>
      <c r="EE955" s="25"/>
      <c r="EF955" s="25"/>
      <c r="EG955" s="25"/>
      <c r="EH955" s="25"/>
      <c r="EI955" s="25"/>
      <c r="EJ955" s="25"/>
      <c r="EK955" s="25"/>
      <c r="EL955" s="25"/>
      <c r="EM955" s="25"/>
      <c r="EN955" s="25"/>
      <c r="EO955" s="25"/>
      <c r="EP955" s="25"/>
      <c r="EQ955" s="25"/>
      <c r="ER955" s="25"/>
      <c r="ES955" s="25"/>
      <c r="ET955" s="25"/>
      <c r="EU955" s="25"/>
      <c r="EV955" s="25"/>
      <c r="EW955" s="25"/>
      <c r="EX955" s="25"/>
      <c r="EY955" s="25"/>
      <c r="EZ955" s="25"/>
      <c r="FA955" s="25"/>
      <c r="FB955" s="25"/>
      <c r="FC955" s="25"/>
      <c r="FD955" s="25"/>
      <c r="FE955" s="25"/>
      <c r="FF955" s="25"/>
      <c r="FG955" s="25"/>
      <c r="FH955" s="25"/>
      <c r="FI955" s="25"/>
      <c r="FJ955" s="25"/>
      <c r="FK955" s="25"/>
      <c r="FL955" s="25"/>
      <c r="FM955" s="25"/>
      <c r="FN955" s="25"/>
      <c r="FO955" s="25"/>
      <c r="FP955" s="25"/>
      <c r="FQ955" s="25"/>
      <c r="FR955" s="25"/>
      <c r="FS955" s="25"/>
      <c r="FT955" s="25"/>
      <c r="FU955" s="25"/>
      <c r="FV955" s="28"/>
      <c r="FW955" s="27"/>
      <c r="FX955" s="27"/>
      <c r="FY955" s="25"/>
      <c r="FZ955" s="25"/>
      <c r="GA955" s="25"/>
      <c r="GB955" s="25"/>
      <c r="GC955" s="25"/>
      <c r="GD955" s="25"/>
      <c r="GE955" s="25"/>
      <c r="GF955" s="25"/>
      <c r="GG955" s="25"/>
      <c r="GH955" s="25"/>
      <c r="GI955" s="25"/>
      <c r="GJ955" s="25"/>
      <c r="GK955" s="25"/>
      <c r="GL955" s="25"/>
      <c r="GM955" s="25"/>
      <c r="GN955" s="25"/>
      <c r="GO955" s="25"/>
      <c r="GP955" s="25"/>
      <c r="GQ955" s="25"/>
      <c r="GR955" s="25"/>
      <c r="GS955" s="25"/>
      <c r="GT955" s="25"/>
      <c r="GU955" s="25"/>
      <c r="GV955" s="25"/>
      <c r="GW955" s="25"/>
      <c r="GX955" s="25"/>
      <c r="GY955" s="25"/>
      <c r="GZ955" s="25"/>
      <c r="HA955" s="25"/>
      <c r="HB955" s="25"/>
      <c r="HC955" s="25"/>
      <c r="HD955" s="25"/>
      <c r="HE955" s="25"/>
      <c r="HF955" s="25"/>
      <c r="HG955" s="25"/>
      <c r="HH955" s="25"/>
      <c r="HI955" s="25"/>
      <c r="HJ955" s="25"/>
      <c r="HK955" s="25"/>
      <c r="HL955" s="25"/>
    </row>
    <row r="956" spans="1:220" ht="15.75" customHeight="1" x14ac:dyDescent="0.2">
      <c r="A956" s="25"/>
      <c r="B956" s="29"/>
      <c r="C956" s="26"/>
      <c r="D956" s="29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  <c r="CI956" s="25"/>
      <c r="CJ956" s="25"/>
      <c r="CK956" s="25"/>
      <c r="CL956" s="25"/>
      <c r="CM956" s="25"/>
      <c r="CN956" s="25"/>
      <c r="CO956" s="25"/>
      <c r="CP956" s="25"/>
      <c r="CQ956" s="25"/>
      <c r="CR956" s="25"/>
      <c r="CS956" s="25"/>
      <c r="CT956" s="25"/>
      <c r="CU956" s="25"/>
      <c r="CV956" s="25"/>
      <c r="CW956" s="25"/>
      <c r="CX956" s="25"/>
      <c r="CY956" s="25"/>
      <c r="CZ956" s="25"/>
      <c r="DA956" s="25"/>
      <c r="DB956" s="25"/>
      <c r="DC956" s="25"/>
      <c r="DD956" s="25"/>
      <c r="DE956" s="25"/>
      <c r="DF956" s="25"/>
      <c r="DG956" s="25"/>
      <c r="DH956" s="25"/>
      <c r="DI956" s="25"/>
      <c r="DJ956" s="25"/>
      <c r="DK956" s="25"/>
      <c r="DL956" s="25"/>
      <c r="DM956" s="25"/>
      <c r="DN956" s="25"/>
      <c r="DO956" s="25"/>
      <c r="DP956" s="25"/>
      <c r="DQ956" s="25"/>
      <c r="DR956" s="25"/>
      <c r="DS956" s="25"/>
      <c r="DT956" s="25"/>
      <c r="DU956" s="25"/>
      <c r="DV956" s="25"/>
      <c r="DW956" s="25"/>
      <c r="DX956" s="25"/>
      <c r="DY956" s="25"/>
      <c r="DZ956" s="25"/>
      <c r="EA956" s="25"/>
      <c r="EB956" s="25"/>
      <c r="EC956" s="25"/>
      <c r="ED956" s="25"/>
      <c r="EE956" s="25"/>
      <c r="EF956" s="25"/>
      <c r="EG956" s="25"/>
      <c r="EH956" s="25"/>
      <c r="EI956" s="25"/>
      <c r="EJ956" s="25"/>
      <c r="EK956" s="25"/>
      <c r="EL956" s="25"/>
      <c r="EM956" s="25"/>
      <c r="EN956" s="25"/>
      <c r="EO956" s="25"/>
      <c r="EP956" s="25"/>
      <c r="EQ956" s="25"/>
      <c r="ER956" s="25"/>
      <c r="ES956" s="25"/>
      <c r="ET956" s="25"/>
      <c r="EU956" s="25"/>
      <c r="EV956" s="25"/>
      <c r="EW956" s="25"/>
      <c r="EX956" s="25"/>
      <c r="EY956" s="25"/>
      <c r="EZ956" s="25"/>
      <c r="FA956" s="25"/>
      <c r="FB956" s="25"/>
      <c r="FC956" s="25"/>
      <c r="FD956" s="25"/>
      <c r="FE956" s="25"/>
      <c r="FF956" s="25"/>
      <c r="FG956" s="25"/>
      <c r="FH956" s="25"/>
      <c r="FI956" s="25"/>
      <c r="FJ956" s="25"/>
      <c r="FK956" s="25"/>
      <c r="FL956" s="25"/>
      <c r="FM956" s="25"/>
      <c r="FN956" s="25"/>
      <c r="FO956" s="25"/>
      <c r="FP956" s="25"/>
      <c r="FQ956" s="25"/>
      <c r="FR956" s="25"/>
      <c r="FS956" s="25"/>
      <c r="FT956" s="25"/>
      <c r="FU956" s="25"/>
      <c r="FV956" s="28"/>
      <c r="FW956" s="27"/>
      <c r="FX956" s="27"/>
      <c r="FY956" s="25"/>
      <c r="FZ956" s="25"/>
      <c r="GA956" s="25"/>
      <c r="GB956" s="25"/>
      <c r="GC956" s="25"/>
      <c r="GD956" s="25"/>
      <c r="GE956" s="25"/>
      <c r="GF956" s="25"/>
      <c r="GG956" s="25"/>
      <c r="GH956" s="25"/>
      <c r="GI956" s="25"/>
      <c r="GJ956" s="25"/>
      <c r="GK956" s="25"/>
      <c r="GL956" s="25"/>
      <c r="GM956" s="25"/>
      <c r="GN956" s="25"/>
      <c r="GO956" s="25"/>
      <c r="GP956" s="25"/>
      <c r="GQ956" s="25"/>
      <c r="GR956" s="25"/>
      <c r="GS956" s="25"/>
      <c r="GT956" s="25"/>
      <c r="GU956" s="25"/>
      <c r="GV956" s="25"/>
      <c r="GW956" s="25"/>
      <c r="GX956" s="25"/>
      <c r="GY956" s="25"/>
      <c r="GZ956" s="25"/>
      <c r="HA956" s="25"/>
      <c r="HB956" s="25"/>
      <c r="HC956" s="25"/>
      <c r="HD956" s="25"/>
      <c r="HE956" s="25"/>
      <c r="HF956" s="25"/>
      <c r="HG956" s="25"/>
      <c r="HH956" s="25"/>
      <c r="HI956" s="25"/>
      <c r="HJ956" s="25"/>
      <c r="HK956" s="25"/>
      <c r="HL956" s="25"/>
    </row>
    <row r="957" spans="1:220" ht="15.75" customHeight="1" x14ac:dyDescent="0.2">
      <c r="A957" s="25"/>
      <c r="B957" s="29"/>
      <c r="C957" s="26"/>
      <c r="D957" s="29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  <c r="CI957" s="25"/>
      <c r="CJ957" s="25"/>
      <c r="CK957" s="25"/>
      <c r="CL957" s="25"/>
      <c r="CM957" s="25"/>
      <c r="CN957" s="25"/>
      <c r="CO957" s="25"/>
      <c r="CP957" s="25"/>
      <c r="CQ957" s="25"/>
      <c r="CR957" s="25"/>
      <c r="CS957" s="25"/>
      <c r="CT957" s="25"/>
      <c r="CU957" s="25"/>
      <c r="CV957" s="25"/>
      <c r="CW957" s="25"/>
      <c r="CX957" s="25"/>
      <c r="CY957" s="25"/>
      <c r="CZ957" s="25"/>
      <c r="DA957" s="25"/>
      <c r="DB957" s="25"/>
      <c r="DC957" s="25"/>
      <c r="DD957" s="25"/>
      <c r="DE957" s="25"/>
      <c r="DF957" s="25"/>
      <c r="DG957" s="25"/>
      <c r="DH957" s="25"/>
      <c r="DI957" s="25"/>
      <c r="DJ957" s="25"/>
      <c r="DK957" s="25"/>
      <c r="DL957" s="25"/>
      <c r="DM957" s="25"/>
      <c r="DN957" s="25"/>
      <c r="DO957" s="25"/>
      <c r="DP957" s="25"/>
      <c r="DQ957" s="25"/>
      <c r="DR957" s="25"/>
      <c r="DS957" s="25"/>
      <c r="DT957" s="25"/>
      <c r="DU957" s="25"/>
      <c r="DV957" s="25"/>
      <c r="DW957" s="25"/>
      <c r="DX957" s="25"/>
      <c r="DY957" s="25"/>
      <c r="DZ957" s="25"/>
      <c r="EA957" s="25"/>
      <c r="EB957" s="25"/>
      <c r="EC957" s="25"/>
      <c r="ED957" s="25"/>
      <c r="EE957" s="25"/>
      <c r="EF957" s="25"/>
      <c r="EG957" s="25"/>
      <c r="EH957" s="25"/>
      <c r="EI957" s="25"/>
      <c r="EJ957" s="25"/>
      <c r="EK957" s="25"/>
      <c r="EL957" s="25"/>
      <c r="EM957" s="25"/>
      <c r="EN957" s="25"/>
      <c r="EO957" s="25"/>
      <c r="EP957" s="25"/>
      <c r="EQ957" s="25"/>
      <c r="ER957" s="25"/>
      <c r="ES957" s="25"/>
      <c r="ET957" s="25"/>
      <c r="EU957" s="25"/>
      <c r="EV957" s="25"/>
      <c r="EW957" s="25"/>
      <c r="EX957" s="25"/>
      <c r="EY957" s="25"/>
      <c r="EZ957" s="25"/>
      <c r="FA957" s="25"/>
      <c r="FB957" s="25"/>
      <c r="FC957" s="25"/>
      <c r="FD957" s="25"/>
      <c r="FE957" s="25"/>
      <c r="FF957" s="25"/>
      <c r="FG957" s="25"/>
      <c r="FH957" s="25"/>
      <c r="FI957" s="25"/>
      <c r="FJ957" s="25"/>
      <c r="FK957" s="25"/>
      <c r="FL957" s="25"/>
      <c r="FM957" s="25"/>
      <c r="FN957" s="25"/>
      <c r="FO957" s="25"/>
      <c r="FP957" s="25"/>
      <c r="FQ957" s="25"/>
      <c r="FR957" s="25"/>
      <c r="FS957" s="25"/>
      <c r="FT957" s="25"/>
      <c r="FU957" s="25"/>
      <c r="FV957" s="28"/>
      <c r="FW957" s="27"/>
      <c r="FX957" s="27"/>
      <c r="FY957" s="25"/>
      <c r="FZ957" s="25"/>
      <c r="GA957" s="25"/>
      <c r="GB957" s="25"/>
      <c r="GC957" s="25"/>
      <c r="GD957" s="25"/>
      <c r="GE957" s="25"/>
      <c r="GF957" s="25"/>
      <c r="GG957" s="25"/>
      <c r="GH957" s="25"/>
      <c r="GI957" s="25"/>
      <c r="GJ957" s="25"/>
      <c r="GK957" s="25"/>
      <c r="GL957" s="25"/>
      <c r="GM957" s="25"/>
      <c r="GN957" s="25"/>
      <c r="GO957" s="25"/>
      <c r="GP957" s="25"/>
      <c r="GQ957" s="25"/>
      <c r="GR957" s="25"/>
      <c r="GS957" s="25"/>
      <c r="GT957" s="25"/>
      <c r="GU957" s="25"/>
      <c r="GV957" s="25"/>
      <c r="GW957" s="25"/>
      <c r="GX957" s="25"/>
      <c r="GY957" s="25"/>
      <c r="GZ957" s="25"/>
      <c r="HA957" s="25"/>
      <c r="HB957" s="25"/>
      <c r="HC957" s="25"/>
      <c r="HD957" s="25"/>
      <c r="HE957" s="25"/>
      <c r="HF957" s="25"/>
      <c r="HG957" s="25"/>
      <c r="HH957" s="25"/>
      <c r="HI957" s="25"/>
      <c r="HJ957" s="25"/>
      <c r="HK957" s="25"/>
      <c r="HL957" s="25"/>
    </row>
    <row r="958" spans="1:220" ht="15.75" customHeight="1" x14ac:dyDescent="0.2">
      <c r="A958" s="25"/>
      <c r="B958" s="29"/>
      <c r="C958" s="26"/>
      <c r="D958" s="29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  <c r="CI958" s="25"/>
      <c r="CJ958" s="25"/>
      <c r="CK958" s="25"/>
      <c r="CL958" s="25"/>
      <c r="CM958" s="25"/>
      <c r="CN958" s="25"/>
      <c r="CO958" s="25"/>
      <c r="CP958" s="25"/>
      <c r="CQ958" s="25"/>
      <c r="CR958" s="25"/>
      <c r="CS958" s="25"/>
      <c r="CT958" s="25"/>
      <c r="CU958" s="25"/>
      <c r="CV958" s="25"/>
      <c r="CW958" s="25"/>
      <c r="CX958" s="25"/>
      <c r="CY958" s="25"/>
      <c r="CZ958" s="25"/>
      <c r="DA958" s="25"/>
      <c r="DB958" s="25"/>
      <c r="DC958" s="25"/>
      <c r="DD958" s="25"/>
      <c r="DE958" s="25"/>
      <c r="DF958" s="25"/>
      <c r="DG958" s="25"/>
      <c r="DH958" s="25"/>
      <c r="DI958" s="25"/>
      <c r="DJ958" s="25"/>
      <c r="DK958" s="25"/>
      <c r="DL958" s="25"/>
      <c r="DM958" s="25"/>
      <c r="DN958" s="25"/>
      <c r="DO958" s="25"/>
      <c r="DP958" s="25"/>
      <c r="DQ958" s="25"/>
      <c r="DR958" s="25"/>
      <c r="DS958" s="25"/>
      <c r="DT958" s="25"/>
      <c r="DU958" s="25"/>
      <c r="DV958" s="25"/>
      <c r="DW958" s="25"/>
      <c r="DX958" s="25"/>
      <c r="DY958" s="25"/>
      <c r="DZ958" s="25"/>
      <c r="EA958" s="25"/>
      <c r="EB958" s="25"/>
      <c r="EC958" s="25"/>
      <c r="ED958" s="25"/>
      <c r="EE958" s="25"/>
      <c r="EF958" s="25"/>
      <c r="EG958" s="25"/>
      <c r="EH958" s="25"/>
      <c r="EI958" s="25"/>
      <c r="EJ958" s="25"/>
      <c r="EK958" s="25"/>
      <c r="EL958" s="25"/>
      <c r="EM958" s="25"/>
      <c r="EN958" s="25"/>
      <c r="EO958" s="25"/>
      <c r="EP958" s="25"/>
      <c r="EQ958" s="25"/>
      <c r="ER958" s="25"/>
      <c r="ES958" s="25"/>
      <c r="ET958" s="25"/>
      <c r="EU958" s="25"/>
      <c r="EV958" s="25"/>
      <c r="EW958" s="25"/>
      <c r="EX958" s="25"/>
      <c r="EY958" s="25"/>
      <c r="EZ958" s="25"/>
      <c r="FA958" s="25"/>
      <c r="FB958" s="25"/>
      <c r="FC958" s="25"/>
      <c r="FD958" s="25"/>
      <c r="FE958" s="25"/>
      <c r="FF958" s="25"/>
      <c r="FG958" s="25"/>
      <c r="FH958" s="25"/>
      <c r="FI958" s="25"/>
      <c r="FJ958" s="25"/>
      <c r="FK958" s="25"/>
      <c r="FL958" s="25"/>
      <c r="FM958" s="25"/>
      <c r="FN958" s="25"/>
      <c r="FO958" s="25"/>
      <c r="FP958" s="25"/>
      <c r="FQ958" s="25"/>
      <c r="FR958" s="25"/>
      <c r="FS958" s="25"/>
      <c r="FT958" s="25"/>
      <c r="FU958" s="25"/>
      <c r="FV958" s="28"/>
      <c r="FW958" s="27"/>
      <c r="FX958" s="27"/>
      <c r="FY958" s="25"/>
      <c r="FZ958" s="25"/>
      <c r="GA958" s="25"/>
      <c r="GB958" s="25"/>
      <c r="GC958" s="25"/>
      <c r="GD958" s="25"/>
      <c r="GE958" s="25"/>
      <c r="GF958" s="25"/>
      <c r="GG958" s="25"/>
      <c r="GH958" s="25"/>
      <c r="GI958" s="25"/>
      <c r="GJ958" s="25"/>
      <c r="GK958" s="25"/>
      <c r="GL958" s="25"/>
      <c r="GM958" s="25"/>
      <c r="GN958" s="25"/>
      <c r="GO958" s="25"/>
      <c r="GP958" s="25"/>
      <c r="GQ958" s="25"/>
      <c r="GR958" s="25"/>
      <c r="GS958" s="25"/>
      <c r="GT958" s="25"/>
      <c r="GU958" s="25"/>
      <c r="GV958" s="25"/>
      <c r="GW958" s="25"/>
      <c r="GX958" s="25"/>
      <c r="GY958" s="25"/>
      <c r="GZ958" s="25"/>
      <c r="HA958" s="25"/>
      <c r="HB958" s="25"/>
      <c r="HC958" s="25"/>
      <c r="HD958" s="25"/>
      <c r="HE958" s="25"/>
      <c r="HF958" s="25"/>
      <c r="HG958" s="25"/>
      <c r="HH958" s="25"/>
      <c r="HI958" s="25"/>
      <c r="HJ958" s="25"/>
      <c r="HK958" s="25"/>
      <c r="HL958" s="25"/>
    </row>
    <row r="959" spans="1:220" ht="15.75" customHeight="1" x14ac:dyDescent="0.2">
      <c r="A959" s="25"/>
      <c r="B959" s="29"/>
      <c r="C959" s="26"/>
      <c r="D959" s="29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  <c r="CI959" s="25"/>
      <c r="CJ959" s="25"/>
      <c r="CK959" s="25"/>
      <c r="CL959" s="25"/>
      <c r="CM959" s="25"/>
      <c r="CN959" s="25"/>
      <c r="CO959" s="25"/>
      <c r="CP959" s="25"/>
      <c r="CQ959" s="25"/>
      <c r="CR959" s="25"/>
      <c r="CS959" s="25"/>
      <c r="CT959" s="25"/>
      <c r="CU959" s="25"/>
      <c r="CV959" s="25"/>
      <c r="CW959" s="25"/>
      <c r="CX959" s="25"/>
      <c r="CY959" s="25"/>
      <c r="CZ959" s="25"/>
      <c r="DA959" s="25"/>
      <c r="DB959" s="25"/>
      <c r="DC959" s="25"/>
      <c r="DD959" s="25"/>
      <c r="DE959" s="25"/>
      <c r="DF959" s="25"/>
      <c r="DG959" s="25"/>
      <c r="DH959" s="25"/>
      <c r="DI959" s="25"/>
      <c r="DJ959" s="25"/>
      <c r="DK959" s="25"/>
      <c r="DL959" s="25"/>
      <c r="DM959" s="25"/>
      <c r="DN959" s="25"/>
      <c r="DO959" s="25"/>
      <c r="DP959" s="25"/>
      <c r="DQ959" s="25"/>
      <c r="DR959" s="25"/>
      <c r="DS959" s="25"/>
      <c r="DT959" s="25"/>
      <c r="DU959" s="25"/>
      <c r="DV959" s="25"/>
      <c r="DW959" s="25"/>
      <c r="DX959" s="25"/>
      <c r="DY959" s="25"/>
      <c r="DZ959" s="25"/>
      <c r="EA959" s="25"/>
      <c r="EB959" s="25"/>
      <c r="EC959" s="25"/>
      <c r="ED959" s="25"/>
      <c r="EE959" s="25"/>
      <c r="EF959" s="25"/>
      <c r="EG959" s="25"/>
      <c r="EH959" s="25"/>
      <c r="EI959" s="25"/>
      <c r="EJ959" s="25"/>
      <c r="EK959" s="25"/>
      <c r="EL959" s="25"/>
      <c r="EM959" s="25"/>
      <c r="EN959" s="25"/>
      <c r="EO959" s="25"/>
      <c r="EP959" s="25"/>
      <c r="EQ959" s="25"/>
      <c r="ER959" s="25"/>
      <c r="ES959" s="25"/>
      <c r="ET959" s="25"/>
      <c r="EU959" s="25"/>
      <c r="EV959" s="25"/>
      <c r="EW959" s="25"/>
      <c r="EX959" s="25"/>
      <c r="EY959" s="25"/>
      <c r="EZ959" s="25"/>
      <c r="FA959" s="25"/>
      <c r="FB959" s="25"/>
      <c r="FC959" s="25"/>
      <c r="FD959" s="25"/>
      <c r="FE959" s="25"/>
      <c r="FF959" s="25"/>
      <c r="FG959" s="25"/>
      <c r="FH959" s="25"/>
      <c r="FI959" s="25"/>
      <c r="FJ959" s="25"/>
      <c r="FK959" s="25"/>
      <c r="FL959" s="25"/>
      <c r="FM959" s="25"/>
      <c r="FN959" s="25"/>
      <c r="FO959" s="25"/>
      <c r="FP959" s="25"/>
      <c r="FQ959" s="25"/>
      <c r="FR959" s="25"/>
      <c r="FS959" s="25"/>
      <c r="FT959" s="25"/>
      <c r="FU959" s="25"/>
      <c r="FV959" s="28"/>
      <c r="FW959" s="27"/>
      <c r="FX959" s="27"/>
      <c r="FY959" s="25"/>
      <c r="FZ959" s="25"/>
      <c r="GA959" s="25"/>
      <c r="GB959" s="25"/>
      <c r="GC959" s="25"/>
      <c r="GD959" s="25"/>
      <c r="GE959" s="25"/>
      <c r="GF959" s="25"/>
      <c r="GG959" s="25"/>
      <c r="GH959" s="25"/>
      <c r="GI959" s="25"/>
      <c r="GJ959" s="25"/>
      <c r="GK959" s="25"/>
      <c r="GL959" s="25"/>
      <c r="GM959" s="25"/>
      <c r="GN959" s="25"/>
      <c r="GO959" s="25"/>
      <c r="GP959" s="25"/>
      <c r="GQ959" s="25"/>
      <c r="GR959" s="25"/>
      <c r="GS959" s="25"/>
      <c r="GT959" s="25"/>
      <c r="GU959" s="25"/>
      <c r="GV959" s="25"/>
      <c r="GW959" s="25"/>
      <c r="GX959" s="25"/>
      <c r="GY959" s="25"/>
      <c r="GZ959" s="25"/>
      <c r="HA959" s="25"/>
      <c r="HB959" s="25"/>
      <c r="HC959" s="25"/>
      <c r="HD959" s="25"/>
      <c r="HE959" s="25"/>
      <c r="HF959" s="25"/>
      <c r="HG959" s="25"/>
      <c r="HH959" s="25"/>
      <c r="HI959" s="25"/>
      <c r="HJ959" s="25"/>
      <c r="HK959" s="25"/>
      <c r="HL959" s="25"/>
    </row>
    <row r="960" spans="1:220" ht="15.75" customHeight="1" x14ac:dyDescent="0.2">
      <c r="A960" s="25"/>
      <c r="B960" s="29"/>
      <c r="C960" s="26"/>
      <c r="D960" s="29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  <c r="CI960" s="25"/>
      <c r="CJ960" s="25"/>
      <c r="CK960" s="25"/>
      <c r="CL960" s="25"/>
      <c r="CM960" s="25"/>
      <c r="CN960" s="25"/>
      <c r="CO960" s="25"/>
      <c r="CP960" s="25"/>
      <c r="CQ960" s="25"/>
      <c r="CR960" s="25"/>
      <c r="CS960" s="25"/>
      <c r="CT960" s="25"/>
      <c r="CU960" s="25"/>
      <c r="CV960" s="25"/>
      <c r="CW960" s="25"/>
      <c r="CX960" s="25"/>
      <c r="CY960" s="25"/>
      <c r="CZ960" s="25"/>
      <c r="DA960" s="25"/>
      <c r="DB960" s="25"/>
      <c r="DC960" s="25"/>
      <c r="DD960" s="25"/>
      <c r="DE960" s="25"/>
      <c r="DF960" s="25"/>
      <c r="DG960" s="25"/>
      <c r="DH960" s="25"/>
      <c r="DI960" s="25"/>
      <c r="DJ960" s="25"/>
      <c r="DK960" s="25"/>
      <c r="DL960" s="25"/>
      <c r="DM960" s="25"/>
      <c r="DN960" s="25"/>
      <c r="DO960" s="25"/>
      <c r="DP960" s="25"/>
      <c r="DQ960" s="25"/>
      <c r="DR960" s="25"/>
      <c r="DS960" s="25"/>
      <c r="DT960" s="25"/>
      <c r="DU960" s="25"/>
      <c r="DV960" s="25"/>
      <c r="DW960" s="25"/>
      <c r="DX960" s="25"/>
      <c r="DY960" s="25"/>
      <c r="DZ960" s="25"/>
      <c r="EA960" s="25"/>
      <c r="EB960" s="25"/>
      <c r="EC960" s="25"/>
      <c r="ED960" s="25"/>
      <c r="EE960" s="25"/>
      <c r="EF960" s="25"/>
      <c r="EG960" s="25"/>
      <c r="EH960" s="25"/>
      <c r="EI960" s="25"/>
      <c r="EJ960" s="25"/>
      <c r="EK960" s="25"/>
      <c r="EL960" s="25"/>
      <c r="EM960" s="25"/>
      <c r="EN960" s="25"/>
      <c r="EO960" s="25"/>
      <c r="EP960" s="25"/>
      <c r="EQ960" s="25"/>
      <c r="ER960" s="25"/>
      <c r="ES960" s="25"/>
      <c r="ET960" s="25"/>
      <c r="EU960" s="25"/>
      <c r="EV960" s="25"/>
      <c r="EW960" s="25"/>
      <c r="EX960" s="25"/>
      <c r="EY960" s="25"/>
      <c r="EZ960" s="25"/>
      <c r="FA960" s="25"/>
      <c r="FB960" s="25"/>
      <c r="FC960" s="25"/>
      <c r="FD960" s="25"/>
      <c r="FE960" s="25"/>
      <c r="FF960" s="25"/>
      <c r="FG960" s="25"/>
      <c r="FH960" s="25"/>
      <c r="FI960" s="25"/>
      <c r="FJ960" s="25"/>
      <c r="FK960" s="25"/>
      <c r="FL960" s="25"/>
      <c r="FM960" s="25"/>
      <c r="FN960" s="25"/>
      <c r="FO960" s="25"/>
      <c r="FP960" s="25"/>
      <c r="FQ960" s="25"/>
      <c r="FR960" s="25"/>
      <c r="FS960" s="25"/>
      <c r="FT960" s="25"/>
      <c r="FU960" s="25"/>
      <c r="FV960" s="28"/>
      <c r="FW960" s="27"/>
      <c r="FX960" s="27"/>
      <c r="FY960" s="25"/>
      <c r="FZ960" s="25"/>
      <c r="GA960" s="25"/>
      <c r="GB960" s="25"/>
      <c r="GC960" s="25"/>
      <c r="GD960" s="25"/>
      <c r="GE960" s="25"/>
      <c r="GF960" s="25"/>
      <c r="GG960" s="25"/>
      <c r="GH960" s="25"/>
      <c r="GI960" s="25"/>
      <c r="GJ960" s="25"/>
      <c r="GK960" s="25"/>
      <c r="GL960" s="25"/>
      <c r="GM960" s="25"/>
      <c r="GN960" s="25"/>
      <c r="GO960" s="25"/>
      <c r="GP960" s="25"/>
      <c r="GQ960" s="25"/>
      <c r="GR960" s="25"/>
      <c r="GS960" s="25"/>
      <c r="GT960" s="25"/>
      <c r="GU960" s="25"/>
      <c r="GV960" s="25"/>
      <c r="GW960" s="25"/>
      <c r="GX960" s="25"/>
      <c r="GY960" s="25"/>
      <c r="GZ960" s="25"/>
      <c r="HA960" s="25"/>
      <c r="HB960" s="25"/>
      <c r="HC960" s="25"/>
      <c r="HD960" s="25"/>
      <c r="HE960" s="25"/>
      <c r="HF960" s="25"/>
      <c r="HG960" s="25"/>
      <c r="HH960" s="25"/>
      <c r="HI960" s="25"/>
      <c r="HJ960" s="25"/>
      <c r="HK960" s="25"/>
      <c r="HL960" s="25"/>
    </row>
    <row r="961" spans="1:220" ht="15.75" customHeight="1" x14ac:dyDescent="0.2">
      <c r="A961" s="25"/>
      <c r="B961" s="29"/>
      <c r="C961" s="26"/>
      <c r="D961" s="29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  <c r="CI961" s="25"/>
      <c r="CJ961" s="25"/>
      <c r="CK961" s="25"/>
      <c r="CL961" s="25"/>
      <c r="CM961" s="25"/>
      <c r="CN961" s="25"/>
      <c r="CO961" s="25"/>
      <c r="CP961" s="25"/>
      <c r="CQ961" s="25"/>
      <c r="CR961" s="25"/>
      <c r="CS961" s="25"/>
      <c r="CT961" s="25"/>
      <c r="CU961" s="25"/>
      <c r="CV961" s="25"/>
      <c r="CW961" s="25"/>
      <c r="CX961" s="25"/>
      <c r="CY961" s="25"/>
      <c r="CZ961" s="25"/>
      <c r="DA961" s="25"/>
      <c r="DB961" s="25"/>
      <c r="DC961" s="25"/>
      <c r="DD961" s="25"/>
      <c r="DE961" s="25"/>
      <c r="DF961" s="25"/>
      <c r="DG961" s="25"/>
      <c r="DH961" s="25"/>
      <c r="DI961" s="25"/>
      <c r="DJ961" s="25"/>
      <c r="DK961" s="25"/>
      <c r="DL961" s="25"/>
      <c r="DM961" s="25"/>
      <c r="DN961" s="25"/>
      <c r="DO961" s="25"/>
      <c r="DP961" s="25"/>
      <c r="DQ961" s="25"/>
      <c r="DR961" s="25"/>
      <c r="DS961" s="25"/>
      <c r="DT961" s="25"/>
      <c r="DU961" s="25"/>
      <c r="DV961" s="25"/>
      <c r="DW961" s="25"/>
      <c r="DX961" s="25"/>
      <c r="DY961" s="25"/>
      <c r="DZ961" s="25"/>
      <c r="EA961" s="25"/>
      <c r="EB961" s="25"/>
      <c r="EC961" s="25"/>
      <c r="ED961" s="25"/>
      <c r="EE961" s="25"/>
      <c r="EF961" s="25"/>
      <c r="EG961" s="25"/>
      <c r="EH961" s="25"/>
      <c r="EI961" s="25"/>
      <c r="EJ961" s="25"/>
      <c r="EK961" s="25"/>
      <c r="EL961" s="25"/>
      <c r="EM961" s="25"/>
      <c r="EN961" s="25"/>
      <c r="EO961" s="25"/>
      <c r="EP961" s="25"/>
      <c r="EQ961" s="25"/>
      <c r="ER961" s="25"/>
      <c r="ES961" s="25"/>
      <c r="ET961" s="25"/>
      <c r="EU961" s="25"/>
      <c r="EV961" s="25"/>
      <c r="EW961" s="25"/>
      <c r="EX961" s="25"/>
      <c r="EY961" s="25"/>
      <c r="EZ961" s="25"/>
      <c r="FA961" s="25"/>
      <c r="FB961" s="25"/>
      <c r="FC961" s="25"/>
      <c r="FD961" s="25"/>
      <c r="FE961" s="25"/>
      <c r="FF961" s="25"/>
      <c r="FG961" s="25"/>
      <c r="FH961" s="25"/>
      <c r="FI961" s="25"/>
      <c r="FJ961" s="25"/>
      <c r="FK961" s="25"/>
      <c r="FL961" s="25"/>
      <c r="FM961" s="25"/>
      <c r="FN961" s="25"/>
      <c r="FO961" s="25"/>
      <c r="FP961" s="25"/>
      <c r="FQ961" s="25"/>
      <c r="FR961" s="25"/>
      <c r="FS961" s="25"/>
      <c r="FT961" s="25"/>
      <c r="FU961" s="25"/>
      <c r="FV961" s="28"/>
      <c r="FW961" s="27"/>
      <c r="FX961" s="27"/>
      <c r="FY961" s="25"/>
      <c r="FZ961" s="25"/>
      <c r="GA961" s="25"/>
      <c r="GB961" s="25"/>
      <c r="GC961" s="25"/>
      <c r="GD961" s="25"/>
      <c r="GE961" s="25"/>
      <c r="GF961" s="25"/>
      <c r="GG961" s="25"/>
      <c r="GH961" s="25"/>
      <c r="GI961" s="25"/>
      <c r="GJ961" s="25"/>
      <c r="GK961" s="25"/>
      <c r="GL961" s="25"/>
      <c r="GM961" s="25"/>
      <c r="GN961" s="25"/>
      <c r="GO961" s="25"/>
      <c r="GP961" s="25"/>
      <c r="GQ961" s="25"/>
      <c r="GR961" s="25"/>
      <c r="GS961" s="25"/>
      <c r="GT961" s="25"/>
      <c r="GU961" s="25"/>
      <c r="GV961" s="25"/>
      <c r="GW961" s="25"/>
      <c r="GX961" s="25"/>
      <c r="GY961" s="25"/>
      <c r="GZ961" s="25"/>
      <c r="HA961" s="25"/>
      <c r="HB961" s="25"/>
      <c r="HC961" s="25"/>
      <c r="HD961" s="25"/>
      <c r="HE961" s="25"/>
      <c r="HF961" s="25"/>
      <c r="HG961" s="25"/>
      <c r="HH961" s="25"/>
      <c r="HI961" s="25"/>
      <c r="HJ961" s="25"/>
      <c r="HK961" s="25"/>
      <c r="HL961" s="25"/>
    </row>
    <row r="962" spans="1:220" ht="15.75" customHeight="1" x14ac:dyDescent="0.2">
      <c r="A962" s="25"/>
      <c r="B962" s="29"/>
      <c r="C962" s="26"/>
      <c r="D962" s="29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  <c r="CC962" s="25"/>
      <c r="CD962" s="25"/>
      <c r="CE962" s="25"/>
      <c r="CF962" s="25"/>
      <c r="CG962" s="25"/>
      <c r="CH962" s="25"/>
      <c r="CI962" s="25"/>
      <c r="CJ962" s="25"/>
      <c r="CK962" s="25"/>
      <c r="CL962" s="25"/>
      <c r="CM962" s="25"/>
      <c r="CN962" s="25"/>
      <c r="CO962" s="25"/>
      <c r="CP962" s="25"/>
      <c r="CQ962" s="25"/>
      <c r="CR962" s="25"/>
      <c r="CS962" s="25"/>
      <c r="CT962" s="25"/>
      <c r="CU962" s="25"/>
      <c r="CV962" s="25"/>
      <c r="CW962" s="25"/>
      <c r="CX962" s="25"/>
      <c r="CY962" s="25"/>
      <c r="CZ962" s="25"/>
      <c r="DA962" s="25"/>
      <c r="DB962" s="25"/>
      <c r="DC962" s="25"/>
      <c r="DD962" s="25"/>
      <c r="DE962" s="25"/>
      <c r="DF962" s="25"/>
      <c r="DG962" s="25"/>
      <c r="DH962" s="25"/>
      <c r="DI962" s="25"/>
      <c r="DJ962" s="25"/>
      <c r="DK962" s="25"/>
      <c r="DL962" s="25"/>
      <c r="DM962" s="25"/>
      <c r="DN962" s="25"/>
      <c r="DO962" s="25"/>
      <c r="DP962" s="25"/>
      <c r="DQ962" s="25"/>
      <c r="DR962" s="25"/>
      <c r="DS962" s="25"/>
      <c r="DT962" s="25"/>
      <c r="DU962" s="25"/>
      <c r="DV962" s="25"/>
      <c r="DW962" s="25"/>
      <c r="DX962" s="25"/>
      <c r="DY962" s="25"/>
      <c r="DZ962" s="25"/>
      <c r="EA962" s="25"/>
      <c r="EB962" s="25"/>
      <c r="EC962" s="25"/>
      <c r="ED962" s="25"/>
      <c r="EE962" s="25"/>
      <c r="EF962" s="25"/>
      <c r="EG962" s="25"/>
      <c r="EH962" s="25"/>
      <c r="EI962" s="25"/>
      <c r="EJ962" s="25"/>
      <c r="EK962" s="25"/>
      <c r="EL962" s="25"/>
      <c r="EM962" s="25"/>
      <c r="EN962" s="25"/>
      <c r="EO962" s="25"/>
      <c r="EP962" s="25"/>
      <c r="EQ962" s="25"/>
      <c r="ER962" s="25"/>
      <c r="ES962" s="25"/>
      <c r="ET962" s="25"/>
      <c r="EU962" s="25"/>
      <c r="EV962" s="25"/>
      <c r="EW962" s="25"/>
      <c r="EX962" s="25"/>
      <c r="EY962" s="25"/>
      <c r="EZ962" s="25"/>
      <c r="FA962" s="25"/>
      <c r="FB962" s="25"/>
      <c r="FC962" s="25"/>
      <c r="FD962" s="25"/>
      <c r="FE962" s="25"/>
      <c r="FF962" s="25"/>
      <c r="FG962" s="25"/>
      <c r="FH962" s="25"/>
      <c r="FI962" s="25"/>
      <c r="FJ962" s="25"/>
      <c r="FK962" s="25"/>
      <c r="FL962" s="25"/>
      <c r="FM962" s="25"/>
      <c r="FN962" s="25"/>
      <c r="FO962" s="25"/>
      <c r="FP962" s="25"/>
      <c r="FQ962" s="25"/>
      <c r="FR962" s="25"/>
      <c r="FS962" s="25"/>
      <c r="FT962" s="25"/>
      <c r="FU962" s="25"/>
      <c r="FV962" s="28"/>
      <c r="FW962" s="27"/>
      <c r="FX962" s="27"/>
      <c r="FY962" s="25"/>
      <c r="FZ962" s="25"/>
      <c r="GA962" s="25"/>
      <c r="GB962" s="25"/>
      <c r="GC962" s="25"/>
      <c r="GD962" s="25"/>
      <c r="GE962" s="25"/>
      <c r="GF962" s="25"/>
      <c r="GG962" s="25"/>
      <c r="GH962" s="25"/>
      <c r="GI962" s="25"/>
      <c r="GJ962" s="25"/>
      <c r="GK962" s="25"/>
      <c r="GL962" s="25"/>
      <c r="GM962" s="25"/>
      <c r="GN962" s="25"/>
      <c r="GO962" s="25"/>
      <c r="GP962" s="25"/>
      <c r="GQ962" s="25"/>
      <c r="GR962" s="25"/>
      <c r="GS962" s="25"/>
      <c r="GT962" s="25"/>
      <c r="GU962" s="25"/>
      <c r="GV962" s="25"/>
      <c r="GW962" s="25"/>
      <c r="GX962" s="25"/>
      <c r="GY962" s="25"/>
      <c r="GZ962" s="25"/>
      <c r="HA962" s="25"/>
      <c r="HB962" s="25"/>
      <c r="HC962" s="25"/>
      <c r="HD962" s="25"/>
      <c r="HE962" s="25"/>
      <c r="HF962" s="25"/>
      <c r="HG962" s="25"/>
      <c r="HH962" s="25"/>
      <c r="HI962" s="25"/>
      <c r="HJ962" s="25"/>
      <c r="HK962" s="25"/>
      <c r="HL962" s="25"/>
    </row>
    <row r="963" spans="1:220" ht="15.75" customHeight="1" x14ac:dyDescent="0.2">
      <c r="A963" s="25"/>
      <c r="B963" s="29"/>
      <c r="C963" s="26"/>
      <c r="D963" s="29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  <c r="CC963" s="25"/>
      <c r="CD963" s="25"/>
      <c r="CE963" s="25"/>
      <c r="CF963" s="25"/>
      <c r="CG963" s="25"/>
      <c r="CH963" s="25"/>
      <c r="CI963" s="25"/>
      <c r="CJ963" s="25"/>
      <c r="CK963" s="25"/>
      <c r="CL963" s="25"/>
      <c r="CM963" s="25"/>
      <c r="CN963" s="25"/>
      <c r="CO963" s="25"/>
      <c r="CP963" s="25"/>
      <c r="CQ963" s="25"/>
      <c r="CR963" s="25"/>
      <c r="CS963" s="25"/>
      <c r="CT963" s="25"/>
      <c r="CU963" s="25"/>
      <c r="CV963" s="25"/>
      <c r="CW963" s="25"/>
      <c r="CX963" s="25"/>
      <c r="CY963" s="25"/>
      <c r="CZ963" s="25"/>
      <c r="DA963" s="25"/>
      <c r="DB963" s="25"/>
      <c r="DC963" s="25"/>
      <c r="DD963" s="25"/>
      <c r="DE963" s="25"/>
      <c r="DF963" s="25"/>
      <c r="DG963" s="25"/>
      <c r="DH963" s="25"/>
      <c r="DI963" s="25"/>
      <c r="DJ963" s="25"/>
      <c r="DK963" s="25"/>
      <c r="DL963" s="25"/>
      <c r="DM963" s="25"/>
      <c r="DN963" s="25"/>
      <c r="DO963" s="25"/>
      <c r="DP963" s="25"/>
      <c r="DQ963" s="25"/>
      <c r="DR963" s="25"/>
      <c r="DS963" s="25"/>
      <c r="DT963" s="25"/>
      <c r="DU963" s="25"/>
      <c r="DV963" s="25"/>
      <c r="DW963" s="25"/>
      <c r="DX963" s="25"/>
      <c r="DY963" s="25"/>
      <c r="DZ963" s="25"/>
      <c r="EA963" s="25"/>
      <c r="EB963" s="25"/>
      <c r="EC963" s="25"/>
      <c r="ED963" s="25"/>
      <c r="EE963" s="25"/>
      <c r="EF963" s="25"/>
      <c r="EG963" s="25"/>
      <c r="EH963" s="25"/>
      <c r="EI963" s="25"/>
      <c r="EJ963" s="25"/>
      <c r="EK963" s="25"/>
      <c r="EL963" s="25"/>
      <c r="EM963" s="25"/>
      <c r="EN963" s="25"/>
      <c r="EO963" s="25"/>
      <c r="EP963" s="25"/>
      <c r="EQ963" s="25"/>
      <c r="ER963" s="25"/>
      <c r="ES963" s="25"/>
      <c r="ET963" s="25"/>
      <c r="EU963" s="25"/>
      <c r="EV963" s="25"/>
      <c r="EW963" s="25"/>
      <c r="EX963" s="25"/>
      <c r="EY963" s="25"/>
      <c r="EZ963" s="25"/>
      <c r="FA963" s="25"/>
      <c r="FB963" s="25"/>
      <c r="FC963" s="25"/>
      <c r="FD963" s="25"/>
      <c r="FE963" s="25"/>
      <c r="FF963" s="25"/>
      <c r="FG963" s="25"/>
      <c r="FH963" s="25"/>
      <c r="FI963" s="25"/>
      <c r="FJ963" s="25"/>
      <c r="FK963" s="25"/>
      <c r="FL963" s="25"/>
      <c r="FM963" s="25"/>
      <c r="FN963" s="25"/>
      <c r="FO963" s="25"/>
      <c r="FP963" s="25"/>
      <c r="FQ963" s="25"/>
      <c r="FR963" s="25"/>
      <c r="FS963" s="25"/>
      <c r="FT963" s="25"/>
      <c r="FU963" s="25"/>
      <c r="FV963" s="28"/>
      <c r="FW963" s="27"/>
      <c r="FX963" s="27"/>
      <c r="FY963" s="25"/>
      <c r="FZ963" s="25"/>
      <c r="GA963" s="25"/>
      <c r="GB963" s="25"/>
      <c r="GC963" s="25"/>
      <c r="GD963" s="25"/>
      <c r="GE963" s="25"/>
      <c r="GF963" s="25"/>
      <c r="GG963" s="25"/>
      <c r="GH963" s="25"/>
      <c r="GI963" s="25"/>
      <c r="GJ963" s="25"/>
      <c r="GK963" s="25"/>
      <c r="GL963" s="25"/>
      <c r="GM963" s="25"/>
      <c r="GN963" s="25"/>
      <c r="GO963" s="25"/>
      <c r="GP963" s="25"/>
      <c r="GQ963" s="25"/>
      <c r="GR963" s="25"/>
      <c r="GS963" s="25"/>
      <c r="GT963" s="25"/>
      <c r="GU963" s="25"/>
      <c r="GV963" s="25"/>
      <c r="GW963" s="25"/>
      <c r="GX963" s="25"/>
      <c r="GY963" s="25"/>
      <c r="GZ963" s="25"/>
      <c r="HA963" s="25"/>
      <c r="HB963" s="25"/>
      <c r="HC963" s="25"/>
      <c r="HD963" s="25"/>
      <c r="HE963" s="25"/>
      <c r="HF963" s="25"/>
      <c r="HG963" s="25"/>
      <c r="HH963" s="25"/>
      <c r="HI963" s="25"/>
      <c r="HJ963" s="25"/>
      <c r="HK963" s="25"/>
      <c r="HL963" s="25"/>
    </row>
    <row r="964" spans="1:220" ht="15.75" customHeight="1" x14ac:dyDescent="0.2">
      <c r="A964" s="25"/>
      <c r="B964" s="29"/>
      <c r="C964" s="26"/>
      <c r="D964" s="29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  <c r="CC964" s="25"/>
      <c r="CD964" s="25"/>
      <c r="CE964" s="25"/>
      <c r="CF964" s="25"/>
      <c r="CG964" s="25"/>
      <c r="CH964" s="25"/>
      <c r="CI964" s="25"/>
      <c r="CJ964" s="25"/>
      <c r="CK964" s="25"/>
      <c r="CL964" s="25"/>
      <c r="CM964" s="25"/>
      <c r="CN964" s="25"/>
      <c r="CO964" s="25"/>
      <c r="CP964" s="25"/>
      <c r="CQ964" s="25"/>
      <c r="CR964" s="25"/>
      <c r="CS964" s="25"/>
      <c r="CT964" s="25"/>
      <c r="CU964" s="25"/>
      <c r="CV964" s="25"/>
      <c r="CW964" s="25"/>
      <c r="CX964" s="25"/>
      <c r="CY964" s="25"/>
      <c r="CZ964" s="25"/>
      <c r="DA964" s="25"/>
      <c r="DB964" s="25"/>
      <c r="DC964" s="25"/>
      <c r="DD964" s="25"/>
      <c r="DE964" s="25"/>
      <c r="DF964" s="25"/>
      <c r="DG964" s="25"/>
      <c r="DH964" s="25"/>
      <c r="DI964" s="25"/>
      <c r="DJ964" s="25"/>
      <c r="DK964" s="25"/>
      <c r="DL964" s="25"/>
      <c r="DM964" s="25"/>
      <c r="DN964" s="25"/>
      <c r="DO964" s="25"/>
      <c r="DP964" s="25"/>
      <c r="DQ964" s="25"/>
      <c r="DR964" s="25"/>
      <c r="DS964" s="25"/>
      <c r="DT964" s="25"/>
      <c r="DU964" s="25"/>
      <c r="DV964" s="25"/>
      <c r="DW964" s="25"/>
      <c r="DX964" s="25"/>
      <c r="DY964" s="25"/>
      <c r="DZ964" s="25"/>
      <c r="EA964" s="25"/>
      <c r="EB964" s="25"/>
      <c r="EC964" s="25"/>
      <c r="ED964" s="25"/>
      <c r="EE964" s="25"/>
      <c r="EF964" s="25"/>
      <c r="EG964" s="25"/>
      <c r="EH964" s="25"/>
      <c r="EI964" s="25"/>
      <c r="EJ964" s="25"/>
      <c r="EK964" s="25"/>
      <c r="EL964" s="25"/>
      <c r="EM964" s="25"/>
      <c r="EN964" s="25"/>
      <c r="EO964" s="25"/>
      <c r="EP964" s="25"/>
      <c r="EQ964" s="25"/>
      <c r="ER964" s="25"/>
      <c r="ES964" s="25"/>
      <c r="ET964" s="25"/>
      <c r="EU964" s="25"/>
      <c r="EV964" s="25"/>
      <c r="EW964" s="25"/>
      <c r="EX964" s="25"/>
      <c r="EY964" s="25"/>
      <c r="EZ964" s="25"/>
      <c r="FA964" s="25"/>
      <c r="FB964" s="25"/>
      <c r="FC964" s="25"/>
      <c r="FD964" s="25"/>
      <c r="FE964" s="25"/>
      <c r="FF964" s="25"/>
      <c r="FG964" s="25"/>
      <c r="FH964" s="25"/>
      <c r="FI964" s="25"/>
      <c r="FJ964" s="25"/>
      <c r="FK964" s="25"/>
      <c r="FL964" s="25"/>
      <c r="FM964" s="25"/>
      <c r="FN964" s="25"/>
      <c r="FO964" s="25"/>
      <c r="FP964" s="25"/>
      <c r="FQ964" s="25"/>
      <c r="FR964" s="25"/>
      <c r="FS964" s="25"/>
      <c r="FT964" s="25"/>
      <c r="FU964" s="25"/>
      <c r="FV964" s="28"/>
      <c r="FW964" s="27"/>
      <c r="FX964" s="27"/>
      <c r="FY964" s="25"/>
      <c r="FZ964" s="25"/>
      <c r="GA964" s="25"/>
      <c r="GB964" s="25"/>
      <c r="GC964" s="25"/>
      <c r="GD964" s="25"/>
      <c r="GE964" s="25"/>
      <c r="GF964" s="25"/>
      <c r="GG964" s="25"/>
      <c r="GH964" s="25"/>
      <c r="GI964" s="25"/>
      <c r="GJ964" s="25"/>
      <c r="GK964" s="25"/>
      <c r="GL964" s="25"/>
      <c r="GM964" s="25"/>
      <c r="GN964" s="25"/>
      <c r="GO964" s="25"/>
      <c r="GP964" s="25"/>
      <c r="GQ964" s="25"/>
      <c r="GR964" s="25"/>
      <c r="GS964" s="25"/>
      <c r="GT964" s="25"/>
      <c r="GU964" s="25"/>
      <c r="GV964" s="25"/>
      <c r="GW964" s="25"/>
      <c r="GX964" s="25"/>
      <c r="GY964" s="25"/>
      <c r="GZ964" s="25"/>
      <c r="HA964" s="25"/>
      <c r="HB964" s="25"/>
      <c r="HC964" s="25"/>
      <c r="HD964" s="25"/>
      <c r="HE964" s="25"/>
      <c r="HF964" s="25"/>
      <c r="HG964" s="25"/>
      <c r="HH964" s="25"/>
      <c r="HI964" s="25"/>
      <c r="HJ964" s="25"/>
      <c r="HK964" s="25"/>
      <c r="HL964" s="25"/>
    </row>
    <row r="965" spans="1:220" ht="15.75" customHeight="1" x14ac:dyDescent="0.2">
      <c r="A965" s="25"/>
      <c r="B965" s="29"/>
      <c r="C965" s="26"/>
      <c r="D965" s="29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  <c r="CI965" s="25"/>
      <c r="CJ965" s="25"/>
      <c r="CK965" s="25"/>
      <c r="CL965" s="25"/>
      <c r="CM965" s="25"/>
      <c r="CN965" s="25"/>
      <c r="CO965" s="25"/>
      <c r="CP965" s="25"/>
      <c r="CQ965" s="25"/>
      <c r="CR965" s="25"/>
      <c r="CS965" s="25"/>
      <c r="CT965" s="25"/>
      <c r="CU965" s="25"/>
      <c r="CV965" s="25"/>
      <c r="CW965" s="25"/>
      <c r="CX965" s="25"/>
      <c r="CY965" s="25"/>
      <c r="CZ965" s="25"/>
      <c r="DA965" s="25"/>
      <c r="DB965" s="25"/>
      <c r="DC965" s="25"/>
      <c r="DD965" s="25"/>
      <c r="DE965" s="25"/>
      <c r="DF965" s="25"/>
      <c r="DG965" s="25"/>
      <c r="DH965" s="25"/>
      <c r="DI965" s="25"/>
      <c r="DJ965" s="25"/>
      <c r="DK965" s="25"/>
      <c r="DL965" s="25"/>
      <c r="DM965" s="25"/>
      <c r="DN965" s="25"/>
      <c r="DO965" s="25"/>
      <c r="DP965" s="25"/>
      <c r="DQ965" s="25"/>
      <c r="DR965" s="25"/>
      <c r="DS965" s="25"/>
      <c r="DT965" s="25"/>
      <c r="DU965" s="25"/>
      <c r="DV965" s="25"/>
      <c r="DW965" s="25"/>
      <c r="DX965" s="25"/>
      <c r="DY965" s="25"/>
      <c r="DZ965" s="25"/>
      <c r="EA965" s="25"/>
      <c r="EB965" s="25"/>
      <c r="EC965" s="25"/>
      <c r="ED965" s="25"/>
      <c r="EE965" s="25"/>
      <c r="EF965" s="25"/>
      <c r="EG965" s="25"/>
      <c r="EH965" s="25"/>
      <c r="EI965" s="25"/>
      <c r="EJ965" s="25"/>
      <c r="EK965" s="25"/>
      <c r="EL965" s="25"/>
      <c r="EM965" s="25"/>
      <c r="EN965" s="25"/>
      <c r="EO965" s="25"/>
      <c r="EP965" s="25"/>
      <c r="EQ965" s="25"/>
      <c r="ER965" s="25"/>
      <c r="ES965" s="25"/>
      <c r="ET965" s="25"/>
      <c r="EU965" s="25"/>
      <c r="EV965" s="25"/>
      <c r="EW965" s="25"/>
      <c r="EX965" s="25"/>
      <c r="EY965" s="25"/>
      <c r="EZ965" s="25"/>
      <c r="FA965" s="25"/>
      <c r="FB965" s="25"/>
      <c r="FC965" s="25"/>
      <c r="FD965" s="25"/>
      <c r="FE965" s="25"/>
      <c r="FF965" s="25"/>
      <c r="FG965" s="25"/>
      <c r="FH965" s="25"/>
      <c r="FI965" s="25"/>
      <c r="FJ965" s="25"/>
      <c r="FK965" s="25"/>
      <c r="FL965" s="25"/>
      <c r="FM965" s="25"/>
      <c r="FN965" s="25"/>
      <c r="FO965" s="25"/>
      <c r="FP965" s="25"/>
      <c r="FQ965" s="25"/>
      <c r="FR965" s="25"/>
      <c r="FS965" s="25"/>
      <c r="FT965" s="25"/>
      <c r="FU965" s="25"/>
      <c r="FV965" s="28"/>
      <c r="FW965" s="27"/>
      <c r="FX965" s="27"/>
      <c r="FY965" s="25"/>
      <c r="FZ965" s="25"/>
      <c r="GA965" s="25"/>
      <c r="GB965" s="25"/>
      <c r="GC965" s="25"/>
      <c r="GD965" s="25"/>
      <c r="GE965" s="25"/>
      <c r="GF965" s="25"/>
      <c r="GG965" s="25"/>
      <c r="GH965" s="25"/>
      <c r="GI965" s="25"/>
      <c r="GJ965" s="25"/>
      <c r="GK965" s="25"/>
      <c r="GL965" s="25"/>
      <c r="GM965" s="25"/>
      <c r="GN965" s="25"/>
      <c r="GO965" s="25"/>
      <c r="GP965" s="25"/>
      <c r="GQ965" s="25"/>
      <c r="GR965" s="25"/>
      <c r="GS965" s="25"/>
      <c r="GT965" s="25"/>
      <c r="GU965" s="25"/>
      <c r="GV965" s="25"/>
      <c r="GW965" s="25"/>
      <c r="GX965" s="25"/>
      <c r="GY965" s="25"/>
      <c r="GZ965" s="25"/>
      <c r="HA965" s="25"/>
      <c r="HB965" s="25"/>
      <c r="HC965" s="25"/>
      <c r="HD965" s="25"/>
      <c r="HE965" s="25"/>
      <c r="HF965" s="25"/>
      <c r="HG965" s="25"/>
      <c r="HH965" s="25"/>
      <c r="HI965" s="25"/>
      <c r="HJ965" s="25"/>
      <c r="HK965" s="25"/>
      <c r="HL965" s="25"/>
    </row>
    <row r="966" spans="1:220" ht="15.75" customHeight="1" x14ac:dyDescent="0.2">
      <c r="A966" s="25"/>
      <c r="B966" s="29"/>
      <c r="C966" s="26"/>
      <c r="D966" s="29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  <c r="CC966" s="25"/>
      <c r="CD966" s="25"/>
      <c r="CE966" s="25"/>
      <c r="CF966" s="25"/>
      <c r="CG966" s="25"/>
      <c r="CH966" s="25"/>
      <c r="CI966" s="25"/>
      <c r="CJ966" s="25"/>
      <c r="CK966" s="25"/>
      <c r="CL966" s="25"/>
      <c r="CM966" s="25"/>
      <c r="CN966" s="25"/>
      <c r="CO966" s="25"/>
      <c r="CP966" s="25"/>
      <c r="CQ966" s="25"/>
      <c r="CR966" s="25"/>
      <c r="CS966" s="25"/>
      <c r="CT966" s="25"/>
      <c r="CU966" s="25"/>
      <c r="CV966" s="25"/>
      <c r="CW966" s="25"/>
      <c r="CX966" s="25"/>
      <c r="CY966" s="25"/>
      <c r="CZ966" s="25"/>
      <c r="DA966" s="25"/>
      <c r="DB966" s="25"/>
      <c r="DC966" s="25"/>
      <c r="DD966" s="25"/>
      <c r="DE966" s="25"/>
      <c r="DF966" s="25"/>
      <c r="DG966" s="25"/>
      <c r="DH966" s="25"/>
      <c r="DI966" s="25"/>
      <c r="DJ966" s="25"/>
      <c r="DK966" s="25"/>
      <c r="DL966" s="25"/>
      <c r="DM966" s="25"/>
      <c r="DN966" s="25"/>
      <c r="DO966" s="25"/>
      <c r="DP966" s="25"/>
      <c r="DQ966" s="25"/>
      <c r="DR966" s="25"/>
      <c r="DS966" s="25"/>
      <c r="DT966" s="25"/>
      <c r="DU966" s="25"/>
      <c r="DV966" s="25"/>
      <c r="DW966" s="25"/>
      <c r="DX966" s="25"/>
      <c r="DY966" s="25"/>
      <c r="DZ966" s="25"/>
      <c r="EA966" s="25"/>
      <c r="EB966" s="25"/>
      <c r="EC966" s="25"/>
      <c r="ED966" s="25"/>
      <c r="EE966" s="25"/>
      <c r="EF966" s="25"/>
      <c r="EG966" s="25"/>
      <c r="EH966" s="25"/>
      <c r="EI966" s="25"/>
      <c r="EJ966" s="25"/>
      <c r="EK966" s="25"/>
      <c r="EL966" s="25"/>
      <c r="EM966" s="25"/>
      <c r="EN966" s="25"/>
      <c r="EO966" s="25"/>
      <c r="EP966" s="25"/>
      <c r="EQ966" s="25"/>
      <c r="ER966" s="25"/>
      <c r="ES966" s="25"/>
      <c r="ET966" s="25"/>
      <c r="EU966" s="25"/>
      <c r="EV966" s="25"/>
      <c r="EW966" s="25"/>
      <c r="EX966" s="25"/>
      <c r="EY966" s="25"/>
      <c r="EZ966" s="25"/>
      <c r="FA966" s="25"/>
      <c r="FB966" s="25"/>
      <c r="FC966" s="25"/>
      <c r="FD966" s="25"/>
      <c r="FE966" s="25"/>
      <c r="FF966" s="25"/>
      <c r="FG966" s="25"/>
      <c r="FH966" s="25"/>
      <c r="FI966" s="25"/>
      <c r="FJ966" s="25"/>
      <c r="FK966" s="25"/>
      <c r="FL966" s="25"/>
      <c r="FM966" s="25"/>
      <c r="FN966" s="25"/>
      <c r="FO966" s="25"/>
      <c r="FP966" s="25"/>
      <c r="FQ966" s="25"/>
      <c r="FR966" s="25"/>
      <c r="FS966" s="25"/>
      <c r="FT966" s="25"/>
      <c r="FU966" s="25"/>
      <c r="FV966" s="28"/>
      <c r="FW966" s="27"/>
      <c r="FX966" s="27"/>
      <c r="FY966" s="25"/>
      <c r="FZ966" s="25"/>
      <c r="GA966" s="25"/>
      <c r="GB966" s="25"/>
      <c r="GC966" s="25"/>
      <c r="GD966" s="25"/>
      <c r="GE966" s="25"/>
      <c r="GF966" s="25"/>
      <c r="GG966" s="25"/>
      <c r="GH966" s="25"/>
      <c r="GI966" s="25"/>
      <c r="GJ966" s="25"/>
      <c r="GK966" s="25"/>
      <c r="GL966" s="25"/>
      <c r="GM966" s="25"/>
      <c r="GN966" s="25"/>
      <c r="GO966" s="25"/>
      <c r="GP966" s="25"/>
      <c r="GQ966" s="25"/>
      <c r="GR966" s="25"/>
      <c r="GS966" s="25"/>
      <c r="GT966" s="25"/>
      <c r="GU966" s="25"/>
      <c r="GV966" s="25"/>
      <c r="GW966" s="25"/>
      <c r="GX966" s="25"/>
      <c r="GY966" s="25"/>
      <c r="GZ966" s="25"/>
      <c r="HA966" s="25"/>
      <c r="HB966" s="25"/>
      <c r="HC966" s="25"/>
      <c r="HD966" s="25"/>
      <c r="HE966" s="25"/>
      <c r="HF966" s="25"/>
      <c r="HG966" s="25"/>
      <c r="HH966" s="25"/>
      <c r="HI966" s="25"/>
      <c r="HJ966" s="25"/>
      <c r="HK966" s="25"/>
      <c r="HL966" s="25"/>
    </row>
    <row r="967" spans="1:220" ht="15.75" customHeight="1" x14ac:dyDescent="0.2">
      <c r="A967" s="25"/>
      <c r="B967" s="29"/>
      <c r="C967" s="26"/>
      <c r="D967" s="29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  <c r="CC967" s="25"/>
      <c r="CD967" s="25"/>
      <c r="CE967" s="25"/>
      <c r="CF967" s="25"/>
      <c r="CG967" s="25"/>
      <c r="CH967" s="25"/>
      <c r="CI967" s="25"/>
      <c r="CJ967" s="25"/>
      <c r="CK967" s="25"/>
      <c r="CL967" s="25"/>
      <c r="CM967" s="25"/>
      <c r="CN967" s="25"/>
      <c r="CO967" s="25"/>
      <c r="CP967" s="25"/>
      <c r="CQ967" s="25"/>
      <c r="CR967" s="25"/>
      <c r="CS967" s="25"/>
      <c r="CT967" s="25"/>
      <c r="CU967" s="25"/>
      <c r="CV967" s="25"/>
      <c r="CW967" s="25"/>
      <c r="CX967" s="25"/>
      <c r="CY967" s="25"/>
      <c r="CZ967" s="25"/>
      <c r="DA967" s="25"/>
      <c r="DB967" s="25"/>
      <c r="DC967" s="25"/>
      <c r="DD967" s="25"/>
      <c r="DE967" s="25"/>
      <c r="DF967" s="25"/>
      <c r="DG967" s="25"/>
      <c r="DH967" s="25"/>
      <c r="DI967" s="25"/>
      <c r="DJ967" s="25"/>
      <c r="DK967" s="25"/>
      <c r="DL967" s="25"/>
      <c r="DM967" s="25"/>
      <c r="DN967" s="25"/>
      <c r="DO967" s="25"/>
      <c r="DP967" s="25"/>
      <c r="DQ967" s="25"/>
      <c r="DR967" s="25"/>
      <c r="DS967" s="25"/>
      <c r="DT967" s="25"/>
      <c r="DU967" s="25"/>
      <c r="DV967" s="25"/>
      <c r="DW967" s="25"/>
      <c r="DX967" s="25"/>
      <c r="DY967" s="25"/>
      <c r="DZ967" s="25"/>
      <c r="EA967" s="25"/>
      <c r="EB967" s="25"/>
      <c r="EC967" s="25"/>
      <c r="ED967" s="25"/>
      <c r="EE967" s="25"/>
      <c r="EF967" s="25"/>
      <c r="EG967" s="25"/>
      <c r="EH967" s="25"/>
      <c r="EI967" s="25"/>
      <c r="EJ967" s="25"/>
      <c r="EK967" s="25"/>
      <c r="EL967" s="25"/>
      <c r="EM967" s="25"/>
      <c r="EN967" s="25"/>
      <c r="EO967" s="25"/>
      <c r="EP967" s="25"/>
      <c r="EQ967" s="25"/>
      <c r="ER967" s="25"/>
      <c r="ES967" s="25"/>
      <c r="ET967" s="25"/>
      <c r="EU967" s="25"/>
      <c r="EV967" s="25"/>
      <c r="EW967" s="25"/>
      <c r="EX967" s="25"/>
      <c r="EY967" s="25"/>
      <c r="EZ967" s="25"/>
      <c r="FA967" s="25"/>
      <c r="FB967" s="25"/>
      <c r="FC967" s="25"/>
      <c r="FD967" s="25"/>
      <c r="FE967" s="25"/>
      <c r="FF967" s="25"/>
      <c r="FG967" s="25"/>
      <c r="FH967" s="25"/>
      <c r="FI967" s="25"/>
      <c r="FJ967" s="25"/>
      <c r="FK967" s="25"/>
      <c r="FL967" s="25"/>
      <c r="FM967" s="25"/>
      <c r="FN967" s="25"/>
      <c r="FO967" s="25"/>
      <c r="FP967" s="25"/>
      <c r="FQ967" s="25"/>
      <c r="FR967" s="25"/>
      <c r="FS967" s="25"/>
      <c r="FT967" s="25"/>
      <c r="FU967" s="25"/>
      <c r="FV967" s="28"/>
      <c r="FW967" s="27"/>
      <c r="FX967" s="27"/>
      <c r="FY967" s="25"/>
      <c r="FZ967" s="25"/>
      <c r="GA967" s="25"/>
      <c r="GB967" s="25"/>
      <c r="GC967" s="25"/>
      <c r="GD967" s="25"/>
      <c r="GE967" s="25"/>
      <c r="GF967" s="25"/>
      <c r="GG967" s="25"/>
      <c r="GH967" s="25"/>
      <c r="GI967" s="25"/>
      <c r="GJ967" s="25"/>
      <c r="GK967" s="25"/>
      <c r="GL967" s="25"/>
      <c r="GM967" s="25"/>
      <c r="GN967" s="25"/>
      <c r="GO967" s="25"/>
      <c r="GP967" s="25"/>
      <c r="GQ967" s="25"/>
      <c r="GR967" s="25"/>
      <c r="GS967" s="25"/>
      <c r="GT967" s="25"/>
      <c r="GU967" s="25"/>
      <c r="GV967" s="25"/>
      <c r="GW967" s="25"/>
      <c r="GX967" s="25"/>
      <c r="GY967" s="25"/>
      <c r="GZ967" s="25"/>
      <c r="HA967" s="25"/>
      <c r="HB967" s="25"/>
      <c r="HC967" s="25"/>
      <c r="HD967" s="25"/>
      <c r="HE967" s="25"/>
      <c r="HF967" s="25"/>
      <c r="HG967" s="25"/>
      <c r="HH967" s="25"/>
      <c r="HI967" s="25"/>
      <c r="HJ967" s="25"/>
      <c r="HK967" s="25"/>
      <c r="HL967" s="25"/>
    </row>
    <row r="968" spans="1:220" ht="15.75" customHeight="1" x14ac:dyDescent="0.2">
      <c r="A968" s="25"/>
      <c r="B968" s="29"/>
      <c r="C968" s="26"/>
      <c r="D968" s="29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  <c r="CC968" s="25"/>
      <c r="CD968" s="25"/>
      <c r="CE968" s="25"/>
      <c r="CF968" s="25"/>
      <c r="CG968" s="25"/>
      <c r="CH968" s="25"/>
      <c r="CI968" s="25"/>
      <c r="CJ968" s="25"/>
      <c r="CK968" s="25"/>
      <c r="CL968" s="25"/>
      <c r="CM968" s="25"/>
      <c r="CN968" s="25"/>
      <c r="CO968" s="25"/>
      <c r="CP968" s="25"/>
      <c r="CQ968" s="25"/>
      <c r="CR968" s="25"/>
      <c r="CS968" s="25"/>
      <c r="CT968" s="25"/>
      <c r="CU968" s="25"/>
      <c r="CV968" s="25"/>
      <c r="CW968" s="25"/>
      <c r="CX968" s="25"/>
      <c r="CY968" s="25"/>
      <c r="CZ968" s="25"/>
      <c r="DA968" s="25"/>
      <c r="DB968" s="25"/>
      <c r="DC968" s="25"/>
      <c r="DD968" s="25"/>
      <c r="DE968" s="25"/>
      <c r="DF968" s="25"/>
      <c r="DG968" s="25"/>
      <c r="DH968" s="25"/>
      <c r="DI968" s="25"/>
      <c r="DJ968" s="25"/>
      <c r="DK968" s="25"/>
      <c r="DL968" s="25"/>
      <c r="DM968" s="25"/>
      <c r="DN968" s="25"/>
      <c r="DO968" s="25"/>
      <c r="DP968" s="25"/>
      <c r="DQ968" s="25"/>
      <c r="DR968" s="25"/>
      <c r="DS968" s="25"/>
      <c r="DT968" s="25"/>
      <c r="DU968" s="25"/>
      <c r="DV968" s="25"/>
      <c r="DW968" s="25"/>
      <c r="DX968" s="25"/>
      <c r="DY968" s="25"/>
      <c r="DZ968" s="25"/>
      <c r="EA968" s="25"/>
      <c r="EB968" s="25"/>
      <c r="EC968" s="25"/>
      <c r="ED968" s="25"/>
      <c r="EE968" s="25"/>
      <c r="EF968" s="25"/>
      <c r="EG968" s="25"/>
      <c r="EH968" s="25"/>
      <c r="EI968" s="25"/>
      <c r="EJ968" s="25"/>
      <c r="EK968" s="25"/>
      <c r="EL968" s="25"/>
      <c r="EM968" s="25"/>
      <c r="EN968" s="25"/>
      <c r="EO968" s="25"/>
      <c r="EP968" s="25"/>
      <c r="EQ968" s="25"/>
      <c r="ER968" s="25"/>
      <c r="ES968" s="25"/>
      <c r="ET968" s="25"/>
      <c r="EU968" s="25"/>
      <c r="EV968" s="25"/>
      <c r="EW968" s="25"/>
      <c r="EX968" s="25"/>
      <c r="EY968" s="25"/>
      <c r="EZ968" s="25"/>
      <c r="FA968" s="25"/>
      <c r="FB968" s="25"/>
      <c r="FC968" s="25"/>
      <c r="FD968" s="25"/>
      <c r="FE968" s="25"/>
      <c r="FF968" s="25"/>
      <c r="FG968" s="25"/>
      <c r="FH968" s="25"/>
      <c r="FI968" s="25"/>
      <c r="FJ968" s="25"/>
      <c r="FK968" s="25"/>
      <c r="FL968" s="25"/>
      <c r="FM968" s="25"/>
      <c r="FN968" s="25"/>
      <c r="FO968" s="25"/>
      <c r="FP968" s="25"/>
      <c r="FQ968" s="25"/>
      <c r="FR968" s="25"/>
      <c r="FS968" s="25"/>
      <c r="FT968" s="25"/>
      <c r="FU968" s="25"/>
      <c r="FV968" s="28"/>
      <c r="FW968" s="27"/>
      <c r="FX968" s="27"/>
      <c r="FY968" s="25"/>
      <c r="FZ968" s="25"/>
      <c r="GA968" s="25"/>
      <c r="GB968" s="25"/>
      <c r="GC968" s="25"/>
      <c r="GD968" s="25"/>
      <c r="GE968" s="25"/>
      <c r="GF968" s="25"/>
      <c r="GG968" s="25"/>
      <c r="GH968" s="25"/>
      <c r="GI968" s="25"/>
      <c r="GJ968" s="25"/>
      <c r="GK968" s="25"/>
      <c r="GL968" s="25"/>
      <c r="GM968" s="25"/>
      <c r="GN968" s="25"/>
      <c r="GO968" s="25"/>
      <c r="GP968" s="25"/>
      <c r="GQ968" s="25"/>
      <c r="GR968" s="25"/>
      <c r="GS968" s="25"/>
      <c r="GT968" s="25"/>
      <c r="GU968" s="25"/>
      <c r="GV968" s="25"/>
      <c r="GW968" s="25"/>
      <c r="GX968" s="25"/>
      <c r="GY968" s="25"/>
      <c r="GZ968" s="25"/>
      <c r="HA968" s="25"/>
      <c r="HB968" s="25"/>
      <c r="HC968" s="25"/>
      <c r="HD968" s="25"/>
      <c r="HE968" s="25"/>
      <c r="HF968" s="25"/>
      <c r="HG968" s="25"/>
      <c r="HH968" s="25"/>
      <c r="HI968" s="25"/>
      <c r="HJ968" s="25"/>
      <c r="HK968" s="25"/>
      <c r="HL968" s="25"/>
    </row>
    <row r="969" spans="1:220" ht="15.75" customHeight="1" x14ac:dyDescent="0.2">
      <c r="A969" s="25"/>
      <c r="B969" s="29"/>
      <c r="C969" s="26"/>
      <c r="D969" s="29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  <c r="CI969" s="25"/>
      <c r="CJ969" s="25"/>
      <c r="CK969" s="25"/>
      <c r="CL969" s="25"/>
      <c r="CM969" s="25"/>
      <c r="CN969" s="25"/>
      <c r="CO969" s="25"/>
      <c r="CP969" s="25"/>
      <c r="CQ969" s="25"/>
      <c r="CR969" s="25"/>
      <c r="CS969" s="25"/>
      <c r="CT969" s="25"/>
      <c r="CU969" s="25"/>
      <c r="CV969" s="25"/>
      <c r="CW969" s="25"/>
      <c r="CX969" s="25"/>
      <c r="CY969" s="25"/>
      <c r="CZ969" s="25"/>
      <c r="DA969" s="25"/>
      <c r="DB969" s="25"/>
      <c r="DC969" s="25"/>
      <c r="DD969" s="25"/>
      <c r="DE969" s="25"/>
      <c r="DF969" s="25"/>
      <c r="DG969" s="25"/>
      <c r="DH969" s="25"/>
      <c r="DI969" s="25"/>
      <c r="DJ969" s="25"/>
      <c r="DK969" s="25"/>
      <c r="DL969" s="25"/>
      <c r="DM969" s="25"/>
      <c r="DN969" s="25"/>
      <c r="DO969" s="25"/>
      <c r="DP969" s="25"/>
      <c r="DQ969" s="25"/>
      <c r="DR969" s="25"/>
      <c r="DS969" s="25"/>
      <c r="DT969" s="25"/>
      <c r="DU969" s="25"/>
      <c r="DV969" s="25"/>
      <c r="DW969" s="25"/>
      <c r="DX969" s="25"/>
      <c r="DY969" s="25"/>
      <c r="DZ969" s="25"/>
      <c r="EA969" s="25"/>
      <c r="EB969" s="25"/>
      <c r="EC969" s="25"/>
      <c r="ED969" s="25"/>
      <c r="EE969" s="25"/>
      <c r="EF969" s="25"/>
      <c r="EG969" s="25"/>
      <c r="EH969" s="25"/>
      <c r="EI969" s="25"/>
      <c r="EJ969" s="25"/>
      <c r="EK969" s="25"/>
      <c r="EL969" s="25"/>
      <c r="EM969" s="25"/>
      <c r="EN969" s="25"/>
      <c r="EO969" s="25"/>
      <c r="EP969" s="25"/>
      <c r="EQ969" s="25"/>
      <c r="ER969" s="25"/>
      <c r="ES969" s="25"/>
      <c r="ET969" s="25"/>
      <c r="EU969" s="25"/>
      <c r="EV969" s="25"/>
      <c r="EW969" s="25"/>
      <c r="EX969" s="25"/>
      <c r="EY969" s="25"/>
      <c r="EZ969" s="25"/>
      <c r="FA969" s="25"/>
      <c r="FB969" s="25"/>
      <c r="FC969" s="25"/>
      <c r="FD969" s="25"/>
      <c r="FE969" s="25"/>
      <c r="FF969" s="25"/>
      <c r="FG969" s="25"/>
      <c r="FH969" s="25"/>
      <c r="FI969" s="25"/>
      <c r="FJ969" s="25"/>
      <c r="FK969" s="25"/>
      <c r="FL969" s="25"/>
      <c r="FM969" s="25"/>
      <c r="FN969" s="25"/>
      <c r="FO969" s="25"/>
      <c r="FP969" s="25"/>
      <c r="FQ969" s="25"/>
      <c r="FR969" s="25"/>
      <c r="FS969" s="25"/>
      <c r="FT969" s="25"/>
      <c r="FU969" s="25"/>
      <c r="FV969" s="28"/>
      <c r="FW969" s="27"/>
      <c r="FX969" s="27"/>
      <c r="FY969" s="25"/>
      <c r="FZ969" s="25"/>
      <c r="GA969" s="25"/>
      <c r="GB969" s="25"/>
      <c r="GC969" s="25"/>
      <c r="GD969" s="25"/>
      <c r="GE969" s="25"/>
      <c r="GF969" s="25"/>
      <c r="GG969" s="25"/>
      <c r="GH969" s="25"/>
      <c r="GI969" s="25"/>
      <c r="GJ969" s="25"/>
      <c r="GK969" s="25"/>
      <c r="GL969" s="25"/>
      <c r="GM969" s="25"/>
      <c r="GN969" s="25"/>
      <c r="GO969" s="25"/>
      <c r="GP969" s="25"/>
      <c r="GQ969" s="25"/>
      <c r="GR969" s="25"/>
      <c r="GS969" s="25"/>
      <c r="GT969" s="25"/>
      <c r="GU969" s="25"/>
      <c r="GV969" s="25"/>
      <c r="GW969" s="25"/>
      <c r="GX969" s="25"/>
      <c r="GY969" s="25"/>
      <c r="GZ969" s="25"/>
      <c r="HA969" s="25"/>
      <c r="HB969" s="25"/>
      <c r="HC969" s="25"/>
      <c r="HD969" s="25"/>
      <c r="HE969" s="25"/>
      <c r="HF969" s="25"/>
      <c r="HG969" s="25"/>
      <c r="HH969" s="25"/>
      <c r="HI969" s="25"/>
      <c r="HJ969" s="25"/>
      <c r="HK969" s="25"/>
      <c r="HL969" s="25"/>
    </row>
    <row r="970" spans="1:220" ht="15.75" customHeight="1" x14ac:dyDescent="0.2">
      <c r="A970" s="25"/>
      <c r="B970" s="29"/>
      <c r="C970" s="26"/>
      <c r="D970" s="29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  <c r="CC970" s="25"/>
      <c r="CD970" s="25"/>
      <c r="CE970" s="25"/>
      <c r="CF970" s="25"/>
      <c r="CG970" s="25"/>
      <c r="CH970" s="25"/>
      <c r="CI970" s="25"/>
      <c r="CJ970" s="25"/>
      <c r="CK970" s="25"/>
      <c r="CL970" s="25"/>
      <c r="CM970" s="25"/>
      <c r="CN970" s="25"/>
      <c r="CO970" s="25"/>
      <c r="CP970" s="25"/>
      <c r="CQ970" s="25"/>
      <c r="CR970" s="25"/>
      <c r="CS970" s="25"/>
      <c r="CT970" s="25"/>
      <c r="CU970" s="25"/>
      <c r="CV970" s="25"/>
      <c r="CW970" s="25"/>
      <c r="CX970" s="25"/>
      <c r="CY970" s="25"/>
      <c r="CZ970" s="25"/>
      <c r="DA970" s="25"/>
      <c r="DB970" s="25"/>
      <c r="DC970" s="25"/>
      <c r="DD970" s="25"/>
      <c r="DE970" s="25"/>
      <c r="DF970" s="25"/>
      <c r="DG970" s="25"/>
      <c r="DH970" s="25"/>
      <c r="DI970" s="25"/>
      <c r="DJ970" s="25"/>
      <c r="DK970" s="25"/>
      <c r="DL970" s="25"/>
      <c r="DM970" s="25"/>
      <c r="DN970" s="25"/>
      <c r="DO970" s="25"/>
      <c r="DP970" s="25"/>
      <c r="DQ970" s="25"/>
      <c r="DR970" s="25"/>
      <c r="DS970" s="25"/>
      <c r="DT970" s="25"/>
      <c r="DU970" s="25"/>
      <c r="DV970" s="25"/>
      <c r="DW970" s="25"/>
      <c r="DX970" s="25"/>
      <c r="DY970" s="25"/>
      <c r="DZ970" s="25"/>
      <c r="EA970" s="25"/>
      <c r="EB970" s="25"/>
      <c r="EC970" s="25"/>
      <c r="ED970" s="25"/>
      <c r="EE970" s="25"/>
      <c r="EF970" s="25"/>
      <c r="EG970" s="25"/>
      <c r="EH970" s="25"/>
      <c r="EI970" s="25"/>
      <c r="EJ970" s="25"/>
      <c r="EK970" s="25"/>
      <c r="EL970" s="25"/>
      <c r="EM970" s="25"/>
      <c r="EN970" s="25"/>
      <c r="EO970" s="25"/>
      <c r="EP970" s="25"/>
      <c r="EQ970" s="25"/>
      <c r="ER970" s="25"/>
      <c r="ES970" s="25"/>
      <c r="ET970" s="25"/>
      <c r="EU970" s="25"/>
      <c r="EV970" s="25"/>
      <c r="EW970" s="25"/>
      <c r="EX970" s="25"/>
      <c r="EY970" s="25"/>
      <c r="EZ970" s="25"/>
      <c r="FA970" s="25"/>
      <c r="FB970" s="25"/>
      <c r="FC970" s="25"/>
      <c r="FD970" s="25"/>
      <c r="FE970" s="25"/>
      <c r="FF970" s="25"/>
      <c r="FG970" s="25"/>
      <c r="FH970" s="25"/>
      <c r="FI970" s="25"/>
      <c r="FJ970" s="25"/>
      <c r="FK970" s="25"/>
      <c r="FL970" s="25"/>
      <c r="FM970" s="25"/>
      <c r="FN970" s="25"/>
      <c r="FO970" s="25"/>
      <c r="FP970" s="25"/>
      <c r="FQ970" s="25"/>
      <c r="FR970" s="25"/>
      <c r="FS970" s="25"/>
      <c r="FT970" s="25"/>
      <c r="FU970" s="25"/>
      <c r="FV970" s="28"/>
      <c r="FW970" s="27"/>
      <c r="FX970" s="27"/>
      <c r="FY970" s="25"/>
      <c r="FZ970" s="25"/>
      <c r="GA970" s="25"/>
      <c r="GB970" s="25"/>
      <c r="GC970" s="25"/>
      <c r="GD970" s="25"/>
      <c r="GE970" s="25"/>
      <c r="GF970" s="25"/>
      <c r="GG970" s="25"/>
      <c r="GH970" s="25"/>
      <c r="GI970" s="25"/>
      <c r="GJ970" s="25"/>
      <c r="GK970" s="25"/>
      <c r="GL970" s="25"/>
      <c r="GM970" s="25"/>
      <c r="GN970" s="25"/>
      <c r="GO970" s="25"/>
      <c r="GP970" s="25"/>
      <c r="GQ970" s="25"/>
      <c r="GR970" s="25"/>
      <c r="GS970" s="25"/>
      <c r="GT970" s="25"/>
      <c r="GU970" s="25"/>
      <c r="GV970" s="25"/>
      <c r="GW970" s="25"/>
      <c r="GX970" s="25"/>
      <c r="GY970" s="25"/>
      <c r="GZ970" s="25"/>
      <c r="HA970" s="25"/>
      <c r="HB970" s="25"/>
      <c r="HC970" s="25"/>
      <c r="HD970" s="25"/>
      <c r="HE970" s="25"/>
      <c r="HF970" s="25"/>
      <c r="HG970" s="25"/>
      <c r="HH970" s="25"/>
      <c r="HI970" s="25"/>
      <c r="HJ970" s="25"/>
      <c r="HK970" s="25"/>
      <c r="HL970" s="25"/>
    </row>
    <row r="971" spans="1:220" ht="15.75" customHeight="1" x14ac:dyDescent="0.2">
      <c r="A971" s="25"/>
      <c r="B971" s="29"/>
      <c r="C971" s="26"/>
      <c r="D971" s="29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  <c r="CC971" s="25"/>
      <c r="CD971" s="25"/>
      <c r="CE971" s="25"/>
      <c r="CF971" s="25"/>
      <c r="CG971" s="25"/>
      <c r="CH971" s="25"/>
      <c r="CI971" s="25"/>
      <c r="CJ971" s="25"/>
      <c r="CK971" s="25"/>
      <c r="CL971" s="25"/>
      <c r="CM971" s="25"/>
      <c r="CN971" s="25"/>
      <c r="CO971" s="25"/>
      <c r="CP971" s="25"/>
      <c r="CQ971" s="25"/>
      <c r="CR971" s="25"/>
      <c r="CS971" s="25"/>
      <c r="CT971" s="25"/>
      <c r="CU971" s="25"/>
      <c r="CV971" s="25"/>
      <c r="CW971" s="25"/>
      <c r="CX971" s="25"/>
      <c r="CY971" s="25"/>
      <c r="CZ971" s="25"/>
      <c r="DA971" s="25"/>
      <c r="DB971" s="25"/>
      <c r="DC971" s="25"/>
      <c r="DD971" s="25"/>
      <c r="DE971" s="25"/>
      <c r="DF971" s="25"/>
      <c r="DG971" s="25"/>
      <c r="DH971" s="25"/>
      <c r="DI971" s="25"/>
      <c r="DJ971" s="25"/>
      <c r="DK971" s="25"/>
      <c r="DL971" s="25"/>
      <c r="DM971" s="25"/>
      <c r="DN971" s="25"/>
      <c r="DO971" s="25"/>
      <c r="DP971" s="25"/>
      <c r="DQ971" s="25"/>
      <c r="DR971" s="25"/>
      <c r="DS971" s="25"/>
      <c r="DT971" s="25"/>
      <c r="DU971" s="25"/>
      <c r="DV971" s="25"/>
      <c r="DW971" s="25"/>
      <c r="DX971" s="25"/>
      <c r="DY971" s="25"/>
      <c r="DZ971" s="25"/>
      <c r="EA971" s="25"/>
      <c r="EB971" s="25"/>
      <c r="EC971" s="25"/>
      <c r="ED971" s="25"/>
      <c r="EE971" s="25"/>
      <c r="EF971" s="25"/>
      <c r="EG971" s="25"/>
      <c r="EH971" s="25"/>
      <c r="EI971" s="25"/>
      <c r="EJ971" s="25"/>
      <c r="EK971" s="25"/>
      <c r="EL971" s="25"/>
      <c r="EM971" s="25"/>
      <c r="EN971" s="25"/>
      <c r="EO971" s="25"/>
      <c r="EP971" s="25"/>
      <c r="EQ971" s="25"/>
      <c r="ER971" s="25"/>
      <c r="ES971" s="25"/>
      <c r="ET971" s="25"/>
      <c r="EU971" s="25"/>
      <c r="EV971" s="25"/>
      <c r="EW971" s="25"/>
      <c r="EX971" s="25"/>
      <c r="EY971" s="25"/>
      <c r="EZ971" s="25"/>
      <c r="FA971" s="25"/>
      <c r="FB971" s="25"/>
      <c r="FC971" s="25"/>
      <c r="FD971" s="25"/>
      <c r="FE971" s="25"/>
      <c r="FF971" s="25"/>
      <c r="FG971" s="25"/>
      <c r="FH971" s="25"/>
      <c r="FI971" s="25"/>
      <c r="FJ971" s="25"/>
      <c r="FK971" s="25"/>
      <c r="FL971" s="25"/>
      <c r="FM971" s="25"/>
      <c r="FN971" s="25"/>
      <c r="FO971" s="25"/>
      <c r="FP971" s="25"/>
      <c r="FQ971" s="25"/>
      <c r="FR971" s="25"/>
      <c r="FS971" s="25"/>
      <c r="FT971" s="25"/>
      <c r="FU971" s="25"/>
      <c r="FV971" s="28"/>
      <c r="FW971" s="27"/>
      <c r="FX971" s="27"/>
      <c r="FY971" s="25"/>
      <c r="FZ971" s="25"/>
      <c r="GA971" s="25"/>
      <c r="GB971" s="25"/>
      <c r="GC971" s="25"/>
      <c r="GD971" s="25"/>
      <c r="GE971" s="25"/>
      <c r="GF971" s="25"/>
      <c r="GG971" s="25"/>
      <c r="GH971" s="25"/>
      <c r="GI971" s="25"/>
      <c r="GJ971" s="25"/>
      <c r="GK971" s="25"/>
      <c r="GL971" s="25"/>
      <c r="GM971" s="25"/>
      <c r="GN971" s="25"/>
      <c r="GO971" s="25"/>
      <c r="GP971" s="25"/>
      <c r="GQ971" s="25"/>
      <c r="GR971" s="25"/>
      <c r="GS971" s="25"/>
      <c r="GT971" s="25"/>
      <c r="GU971" s="25"/>
      <c r="GV971" s="25"/>
      <c r="GW971" s="25"/>
      <c r="GX971" s="25"/>
      <c r="GY971" s="25"/>
      <c r="GZ971" s="25"/>
      <c r="HA971" s="25"/>
      <c r="HB971" s="25"/>
      <c r="HC971" s="25"/>
      <c r="HD971" s="25"/>
      <c r="HE971" s="25"/>
      <c r="HF971" s="25"/>
      <c r="HG971" s="25"/>
      <c r="HH971" s="25"/>
      <c r="HI971" s="25"/>
      <c r="HJ971" s="25"/>
      <c r="HK971" s="25"/>
      <c r="HL971" s="25"/>
    </row>
    <row r="972" spans="1:220" ht="15.75" customHeight="1" x14ac:dyDescent="0.2">
      <c r="A972" s="25"/>
      <c r="B972" s="29"/>
      <c r="C972" s="26"/>
      <c r="D972" s="29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  <c r="CC972" s="25"/>
      <c r="CD972" s="25"/>
      <c r="CE972" s="25"/>
      <c r="CF972" s="25"/>
      <c r="CG972" s="25"/>
      <c r="CH972" s="25"/>
      <c r="CI972" s="25"/>
      <c r="CJ972" s="25"/>
      <c r="CK972" s="25"/>
      <c r="CL972" s="25"/>
      <c r="CM972" s="25"/>
      <c r="CN972" s="25"/>
      <c r="CO972" s="25"/>
      <c r="CP972" s="25"/>
      <c r="CQ972" s="25"/>
      <c r="CR972" s="25"/>
      <c r="CS972" s="25"/>
      <c r="CT972" s="25"/>
      <c r="CU972" s="25"/>
      <c r="CV972" s="25"/>
      <c r="CW972" s="25"/>
      <c r="CX972" s="25"/>
      <c r="CY972" s="25"/>
      <c r="CZ972" s="25"/>
      <c r="DA972" s="25"/>
      <c r="DB972" s="25"/>
      <c r="DC972" s="25"/>
      <c r="DD972" s="25"/>
      <c r="DE972" s="25"/>
      <c r="DF972" s="25"/>
      <c r="DG972" s="25"/>
      <c r="DH972" s="25"/>
      <c r="DI972" s="25"/>
      <c r="DJ972" s="25"/>
      <c r="DK972" s="25"/>
      <c r="DL972" s="25"/>
      <c r="DM972" s="25"/>
      <c r="DN972" s="25"/>
      <c r="DO972" s="25"/>
      <c r="DP972" s="25"/>
      <c r="DQ972" s="25"/>
      <c r="DR972" s="25"/>
      <c r="DS972" s="25"/>
      <c r="DT972" s="25"/>
      <c r="DU972" s="25"/>
      <c r="DV972" s="25"/>
      <c r="DW972" s="25"/>
      <c r="DX972" s="25"/>
      <c r="DY972" s="25"/>
      <c r="DZ972" s="25"/>
      <c r="EA972" s="25"/>
      <c r="EB972" s="25"/>
      <c r="EC972" s="25"/>
      <c r="ED972" s="25"/>
      <c r="EE972" s="25"/>
      <c r="EF972" s="25"/>
      <c r="EG972" s="25"/>
      <c r="EH972" s="25"/>
      <c r="EI972" s="25"/>
      <c r="EJ972" s="25"/>
      <c r="EK972" s="25"/>
      <c r="EL972" s="25"/>
      <c r="EM972" s="25"/>
      <c r="EN972" s="25"/>
      <c r="EO972" s="25"/>
      <c r="EP972" s="25"/>
      <c r="EQ972" s="25"/>
      <c r="ER972" s="25"/>
      <c r="ES972" s="25"/>
      <c r="ET972" s="25"/>
      <c r="EU972" s="25"/>
      <c r="EV972" s="25"/>
      <c r="EW972" s="25"/>
      <c r="EX972" s="25"/>
      <c r="EY972" s="25"/>
      <c r="EZ972" s="25"/>
      <c r="FA972" s="25"/>
      <c r="FB972" s="25"/>
      <c r="FC972" s="25"/>
      <c r="FD972" s="25"/>
      <c r="FE972" s="25"/>
      <c r="FF972" s="25"/>
      <c r="FG972" s="25"/>
      <c r="FH972" s="25"/>
      <c r="FI972" s="25"/>
      <c r="FJ972" s="25"/>
      <c r="FK972" s="25"/>
      <c r="FL972" s="25"/>
      <c r="FM972" s="25"/>
      <c r="FN972" s="25"/>
      <c r="FO972" s="25"/>
      <c r="FP972" s="25"/>
      <c r="FQ972" s="25"/>
      <c r="FR972" s="25"/>
      <c r="FS972" s="25"/>
      <c r="FT972" s="25"/>
      <c r="FU972" s="25"/>
      <c r="FV972" s="28"/>
      <c r="FW972" s="27"/>
      <c r="FX972" s="27"/>
      <c r="FY972" s="25"/>
      <c r="FZ972" s="25"/>
      <c r="GA972" s="25"/>
      <c r="GB972" s="25"/>
      <c r="GC972" s="25"/>
      <c r="GD972" s="25"/>
      <c r="GE972" s="25"/>
      <c r="GF972" s="25"/>
      <c r="GG972" s="25"/>
      <c r="GH972" s="25"/>
      <c r="GI972" s="25"/>
      <c r="GJ972" s="25"/>
      <c r="GK972" s="25"/>
      <c r="GL972" s="25"/>
      <c r="GM972" s="25"/>
      <c r="GN972" s="25"/>
      <c r="GO972" s="25"/>
      <c r="GP972" s="25"/>
      <c r="GQ972" s="25"/>
      <c r="GR972" s="25"/>
      <c r="GS972" s="25"/>
      <c r="GT972" s="25"/>
      <c r="GU972" s="25"/>
      <c r="GV972" s="25"/>
      <c r="GW972" s="25"/>
      <c r="GX972" s="25"/>
      <c r="GY972" s="25"/>
      <c r="GZ972" s="25"/>
      <c r="HA972" s="25"/>
      <c r="HB972" s="25"/>
      <c r="HC972" s="25"/>
      <c r="HD972" s="25"/>
      <c r="HE972" s="25"/>
      <c r="HF972" s="25"/>
      <c r="HG972" s="25"/>
      <c r="HH972" s="25"/>
      <c r="HI972" s="25"/>
      <c r="HJ972" s="25"/>
      <c r="HK972" s="25"/>
      <c r="HL972" s="25"/>
    </row>
    <row r="973" spans="1:220" ht="15.75" customHeight="1" x14ac:dyDescent="0.2">
      <c r="A973" s="25"/>
      <c r="B973" s="29"/>
      <c r="C973" s="26"/>
      <c r="D973" s="29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  <c r="CC973" s="25"/>
      <c r="CD973" s="25"/>
      <c r="CE973" s="25"/>
      <c r="CF973" s="25"/>
      <c r="CG973" s="25"/>
      <c r="CH973" s="25"/>
      <c r="CI973" s="25"/>
      <c r="CJ973" s="25"/>
      <c r="CK973" s="25"/>
      <c r="CL973" s="25"/>
      <c r="CM973" s="25"/>
      <c r="CN973" s="25"/>
      <c r="CO973" s="25"/>
      <c r="CP973" s="25"/>
      <c r="CQ973" s="25"/>
      <c r="CR973" s="25"/>
      <c r="CS973" s="25"/>
      <c r="CT973" s="25"/>
      <c r="CU973" s="25"/>
      <c r="CV973" s="25"/>
      <c r="CW973" s="25"/>
      <c r="CX973" s="25"/>
      <c r="CY973" s="25"/>
      <c r="CZ973" s="25"/>
      <c r="DA973" s="25"/>
      <c r="DB973" s="25"/>
      <c r="DC973" s="25"/>
      <c r="DD973" s="25"/>
      <c r="DE973" s="25"/>
      <c r="DF973" s="25"/>
      <c r="DG973" s="25"/>
      <c r="DH973" s="25"/>
      <c r="DI973" s="25"/>
      <c r="DJ973" s="25"/>
      <c r="DK973" s="25"/>
      <c r="DL973" s="25"/>
      <c r="DM973" s="25"/>
      <c r="DN973" s="25"/>
      <c r="DO973" s="25"/>
      <c r="DP973" s="25"/>
      <c r="DQ973" s="25"/>
      <c r="DR973" s="25"/>
      <c r="DS973" s="25"/>
      <c r="DT973" s="25"/>
      <c r="DU973" s="25"/>
      <c r="DV973" s="25"/>
      <c r="DW973" s="25"/>
      <c r="DX973" s="25"/>
      <c r="DY973" s="25"/>
      <c r="DZ973" s="25"/>
      <c r="EA973" s="25"/>
      <c r="EB973" s="25"/>
      <c r="EC973" s="25"/>
      <c r="ED973" s="25"/>
      <c r="EE973" s="25"/>
      <c r="EF973" s="25"/>
      <c r="EG973" s="25"/>
      <c r="EH973" s="25"/>
      <c r="EI973" s="25"/>
      <c r="EJ973" s="25"/>
      <c r="EK973" s="25"/>
      <c r="EL973" s="25"/>
      <c r="EM973" s="25"/>
      <c r="EN973" s="25"/>
      <c r="EO973" s="25"/>
      <c r="EP973" s="25"/>
      <c r="EQ973" s="25"/>
      <c r="ER973" s="25"/>
      <c r="ES973" s="25"/>
      <c r="ET973" s="25"/>
      <c r="EU973" s="25"/>
      <c r="EV973" s="25"/>
      <c r="EW973" s="25"/>
      <c r="EX973" s="25"/>
      <c r="EY973" s="25"/>
      <c r="EZ973" s="25"/>
      <c r="FA973" s="25"/>
      <c r="FB973" s="25"/>
      <c r="FC973" s="25"/>
      <c r="FD973" s="25"/>
      <c r="FE973" s="25"/>
      <c r="FF973" s="25"/>
      <c r="FG973" s="25"/>
      <c r="FH973" s="25"/>
      <c r="FI973" s="25"/>
      <c r="FJ973" s="25"/>
      <c r="FK973" s="25"/>
      <c r="FL973" s="25"/>
      <c r="FM973" s="25"/>
      <c r="FN973" s="25"/>
      <c r="FO973" s="25"/>
      <c r="FP973" s="25"/>
      <c r="FQ973" s="25"/>
      <c r="FR973" s="25"/>
      <c r="FS973" s="25"/>
      <c r="FT973" s="25"/>
      <c r="FU973" s="25"/>
      <c r="FV973" s="28"/>
      <c r="FW973" s="27"/>
      <c r="FX973" s="27"/>
      <c r="FY973" s="25"/>
      <c r="FZ973" s="25"/>
      <c r="GA973" s="25"/>
      <c r="GB973" s="25"/>
      <c r="GC973" s="25"/>
      <c r="GD973" s="25"/>
      <c r="GE973" s="25"/>
      <c r="GF973" s="25"/>
      <c r="GG973" s="25"/>
      <c r="GH973" s="25"/>
      <c r="GI973" s="25"/>
      <c r="GJ973" s="25"/>
      <c r="GK973" s="25"/>
      <c r="GL973" s="25"/>
      <c r="GM973" s="25"/>
      <c r="GN973" s="25"/>
      <c r="GO973" s="25"/>
      <c r="GP973" s="25"/>
      <c r="GQ973" s="25"/>
      <c r="GR973" s="25"/>
      <c r="GS973" s="25"/>
      <c r="GT973" s="25"/>
      <c r="GU973" s="25"/>
      <c r="GV973" s="25"/>
      <c r="GW973" s="25"/>
      <c r="GX973" s="25"/>
      <c r="GY973" s="25"/>
      <c r="GZ973" s="25"/>
      <c r="HA973" s="25"/>
      <c r="HB973" s="25"/>
      <c r="HC973" s="25"/>
      <c r="HD973" s="25"/>
      <c r="HE973" s="25"/>
      <c r="HF973" s="25"/>
      <c r="HG973" s="25"/>
      <c r="HH973" s="25"/>
      <c r="HI973" s="25"/>
      <c r="HJ973" s="25"/>
      <c r="HK973" s="25"/>
      <c r="HL973" s="25"/>
    </row>
    <row r="974" spans="1:220" ht="15.75" customHeight="1" x14ac:dyDescent="0.2">
      <c r="A974" s="25"/>
      <c r="B974" s="29"/>
      <c r="C974" s="26"/>
      <c r="D974" s="29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  <c r="CC974" s="25"/>
      <c r="CD974" s="25"/>
      <c r="CE974" s="25"/>
      <c r="CF974" s="25"/>
      <c r="CG974" s="25"/>
      <c r="CH974" s="25"/>
      <c r="CI974" s="25"/>
      <c r="CJ974" s="25"/>
      <c r="CK974" s="25"/>
      <c r="CL974" s="25"/>
      <c r="CM974" s="25"/>
      <c r="CN974" s="25"/>
      <c r="CO974" s="25"/>
      <c r="CP974" s="25"/>
      <c r="CQ974" s="25"/>
      <c r="CR974" s="25"/>
      <c r="CS974" s="25"/>
      <c r="CT974" s="25"/>
      <c r="CU974" s="25"/>
      <c r="CV974" s="25"/>
      <c r="CW974" s="25"/>
      <c r="CX974" s="25"/>
      <c r="CY974" s="25"/>
      <c r="CZ974" s="25"/>
      <c r="DA974" s="25"/>
      <c r="DB974" s="25"/>
      <c r="DC974" s="25"/>
      <c r="DD974" s="25"/>
      <c r="DE974" s="25"/>
      <c r="DF974" s="25"/>
      <c r="DG974" s="25"/>
      <c r="DH974" s="25"/>
      <c r="DI974" s="25"/>
      <c r="DJ974" s="25"/>
      <c r="DK974" s="25"/>
      <c r="DL974" s="25"/>
      <c r="DM974" s="25"/>
      <c r="DN974" s="25"/>
      <c r="DO974" s="25"/>
      <c r="DP974" s="25"/>
      <c r="DQ974" s="25"/>
      <c r="DR974" s="25"/>
      <c r="DS974" s="25"/>
      <c r="DT974" s="25"/>
      <c r="DU974" s="25"/>
      <c r="DV974" s="25"/>
      <c r="DW974" s="25"/>
      <c r="DX974" s="25"/>
      <c r="DY974" s="25"/>
      <c r="DZ974" s="25"/>
      <c r="EA974" s="25"/>
      <c r="EB974" s="25"/>
      <c r="EC974" s="25"/>
      <c r="ED974" s="25"/>
      <c r="EE974" s="25"/>
      <c r="EF974" s="25"/>
      <c r="EG974" s="25"/>
      <c r="EH974" s="25"/>
      <c r="EI974" s="25"/>
      <c r="EJ974" s="25"/>
      <c r="EK974" s="25"/>
      <c r="EL974" s="25"/>
      <c r="EM974" s="25"/>
      <c r="EN974" s="25"/>
      <c r="EO974" s="25"/>
      <c r="EP974" s="25"/>
      <c r="EQ974" s="25"/>
      <c r="ER974" s="25"/>
      <c r="ES974" s="25"/>
      <c r="ET974" s="25"/>
      <c r="EU974" s="25"/>
      <c r="EV974" s="25"/>
      <c r="EW974" s="25"/>
      <c r="EX974" s="25"/>
      <c r="EY974" s="25"/>
      <c r="EZ974" s="25"/>
      <c r="FA974" s="25"/>
      <c r="FB974" s="25"/>
      <c r="FC974" s="25"/>
      <c r="FD974" s="25"/>
      <c r="FE974" s="25"/>
      <c r="FF974" s="25"/>
      <c r="FG974" s="25"/>
      <c r="FH974" s="25"/>
      <c r="FI974" s="25"/>
      <c r="FJ974" s="25"/>
      <c r="FK974" s="25"/>
      <c r="FL974" s="25"/>
      <c r="FM974" s="25"/>
      <c r="FN974" s="25"/>
      <c r="FO974" s="25"/>
      <c r="FP974" s="25"/>
      <c r="FQ974" s="25"/>
      <c r="FR974" s="25"/>
      <c r="FS974" s="25"/>
      <c r="FT974" s="25"/>
      <c r="FU974" s="25"/>
      <c r="FV974" s="28"/>
      <c r="FW974" s="27"/>
      <c r="FX974" s="27"/>
      <c r="FY974" s="25"/>
      <c r="FZ974" s="25"/>
      <c r="GA974" s="25"/>
      <c r="GB974" s="25"/>
      <c r="GC974" s="25"/>
      <c r="GD974" s="25"/>
      <c r="GE974" s="25"/>
      <c r="GF974" s="25"/>
      <c r="GG974" s="25"/>
      <c r="GH974" s="25"/>
      <c r="GI974" s="25"/>
      <c r="GJ974" s="25"/>
      <c r="GK974" s="25"/>
      <c r="GL974" s="25"/>
      <c r="GM974" s="25"/>
      <c r="GN974" s="25"/>
      <c r="GO974" s="25"/>
      <c r="GP974" s="25"/>
      <c r="GQ974" s="25"/>
      <c r="GR974" s="25"/>
      <c r="GS974" s="25"/>
      <c r="GT974" s="25"/>
      <c r="GU974" s="25"/>
      <c r="GV974" s="25"/>
      <c r="GW974" s="25"/>
      <c r="GX974" s="25"/>
      <c r="GY974" s="25"/>
      <c r="GZ974" s="25"/>
      <c r="HA974" s="25"/>
      <c r="HB974" s="25"/>
      <c r="HC974" s="25"/>
      <c r="HD974" s="25"/>
      <c r="HE974" s="25"/>
      <c r="HF974" s="25"/>
      <c r="HG974" s="25"/>
      <c r="HH974" s="25"/>
      <c r="HI974" s="25"/>
      <c r="HJ974" s="25"/>
      <c r="HK974" s="25"/>
      <c r="HL974" s="25"/>
    </row>
    <row r="975" spans="1:220" ht="15.75" customHeight="1" x14ac:dyDescent="0.2">
      <c r="A975" s="25"/>
      <c r="B975" s="29"/>
      <c r="C975" s="26"/>
      <c r="D975" s="29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  <c r="CC975" s="25"/>
      <c r="CD975" s="25"/>
      <c r="CE975" s="25"/>
      <c r="CF975" s="25"/>
      <c r="CG975" s="25"/>
      <c r="CH975" s="25"/>
      <c r="CI975" s="25"/>
      <c r="CJ975" s="25"/>
      <c r="CK975" s="25"/>
      <c r="CL975" s="25"/>
      <c r="CM975" s="25"/>
      <c r="CN975" s="25"/>
      <c r="CO975" s="25"/>
      <c r="CP975" s="25"/>
      <c r="CQ975" s="25"/>
      <c r="CR975" s="25"/>
      <c r="CS975" s="25"/>
      <c r="CT975" s="25"/>
      <c r="CU975" s="25"/>
      <c r="CV975" s="25"/>
      <c r="CW975" s="25"/>
      <c r="CX975" s="25"/>
      <c r="CY975" s="25"/>
      <c r="CZ975" s="25"/>
      <c r="DA975" s="25"/>
      <c r="DB975" s="25"/>
      <c r="DC975" s="25"/>
      <c r="DD975" s="25"/>
      <c r="DE975" s="25"/>
      <c r="DF975" s="25"/>
      <c r="DG975" s="25"/>
      <c r="DH975" s="25"/>
      <c r="DI975" s="25"/>
      <c r="DJ975" s="25"/>
      <c r="DK975" s="25"/>
      <c r="DL975" s="25"/>
      <c r="DM975" s="25"/>
      <c r="DN975" s="25"/>
      <c r="DO975" s="25"/>
      <c r="DP975" s="25"/>
      <c r="DQ975" s="25"/>
      <c r="DR975" s="25"/>
      <c r="DS975" s="25"/>
      <c r="DT975" s="25"/>
      <c r="DU975" s="25"/>
      <c r="DV975" s="25"/>
      <c r="DW975" s="25"/>
      <c r="DX975" s="25"/>
      <c r="DY975" s="25"/>
      <c r="DZ975" s="25"/>
      <c r="EA975" s="25"/>
      <c r="EB975" s="25"/>
      <c r="EC975" s="25"/>
      <c r="ED975" s="25"/>
      <c r="EE975" s="25"/>
      <c r="EF975" s="25"/>
      <c r="EG975" s="25"/>
      <c r="EH975" s="25"/>
      <c r="EI975" s="25"/>
      <c r="EJ975" s="25"/>
      <c r="EK975" s="25"/>
      <c r="EL975" s="25"/>
      <c r="EM975" s="25"/>
      <c r="EN975" s="25"/>
      <c r="EO975" s="25"/>
      <c r="EP975" s="25"/>
      <c r="EQ975" s="25"/>
      <c r="ER975" s="25"/>
      <c r="ES975" s="25"/>
      <c r="ET975" s="25"/>
      <c r="EU975" s="25"/>
      <c r="EV975" s="25"/>
      <c r="EW975" s="25"/>
      <c r="EX975" s="25"/>
      <c r="EY975" s="25"/>
      <c r="EZ975" s="25"/>
      <c r="FA975" s="25"/>
      <c r="FB975" s="25"/>
      <c r="FC975" s="25"/>
      <c r="FD975" s="25"/>
      <c r="FE975" s="25"/>
      <c r="FF975" s="25"/>
      <c r="FG975" s="25"/>
      <c r="FH975" s="25"/>
      <c r="FI975" s="25"/>
      <c r="FJ975" s="25"/>
      <c r="FK975" s="25"/>
      <c r="FL975" s="25"/>
      <c r="FM975" s="25"/>
      <c r="FN975" s="25"/>
      <c r="FO975" s="25"/>
      <c r="FP975" s="25"/>
      <c r="FQ975" s="25"/>
      <c r="FR975" s="25"/>
      <c r="FS975" s="25"/>
      <c r="FT975" s="25"/>
      <c r="FU975" s="25"/>
      <c r="FV975" s="28"/>
      <c r="FW975" s="27"/>
      <c r="FX975" s="27"/>
      <c r="FY975" s="25"/>
      <c r="FZ975" s="25"/>
      <c r="GA975" s="25"/>
      <c r="GB975" s="25"/>
      <c r="GC975" s="25"/>
      <c r="GD975" s="25"/>
      <c r="GE975" s="25"/>
      <c r="GF975" s="25"/>
      <c r="GG975" s="25"/>
      <c r="GH975" s="25"/>
      <c r="GI975" s="25"/>
      <c r="GJ975" s="25"/>
      <c r="GK975" s="25"/>
      <c r="GL975" s="25"/>
      <c r="GM975" s="25"/>
      <c r="GN975" s="25"/>
      <c r="GO975" s="25"/>
      <c r="GP975" s="25"/>
      <c r="GQ975" s="25"/>
      <c r="GR975" s="25"/>
      <c r="GS975" s="25"/>
      <c r="GT975" s="25"/>
      <c r="GU975" s="25"/>
      <c r="GV975" s="25"/>
      <c r="GW975" s="25"/>
      <c r="GX975" s="25"/>
      <c r="GY975" s="25"/>
      <c r="GZ975" s="25"/>
      <c r="HA975" s="25"/>
      <c r="HB975" s="25"/>
      <c r="HC975" s="25"/>
      <c r="HD975" s="25"/>
      <c r="HE975" s="25"/>
      <c r="HF975" s="25"/>
      <c r="HG975" s="25"/>
      <c r="HH975" s="25"/>
      <c r="HI975" s="25"/>
      <c r="HJ975" s="25"/>
      <c r="HK975" s="25"/>
      <c r="HL975" s="25"/>
    </row>
    <row r="976" spans="1:220" ht="15.75" customHeight="1" x14ac:dyDescent="0.2">
      <c r="A976" s="25"/>
      <c r="B976" s="29"/>
      <c r="C976" s="26"/>
      <c r="D976" s="29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  <c r="CC976" s="25"/>
      <c r="CD976" s="25"/>
      <c r="CE976" s="25"/>
      <c r="CF976" s="25"/>
      <c r="CG976" s="25"/>
      <c r="CH976" s="25"/>
      <c r="CI976" s="25"/>
      <c r="CJ976" s="25"/>
      <c r="CK976" s="25"/>
      <c r="CL976" s="25"/>
      <c r="CM976" s="25"/>
      <c r="CN976" s="25"/>
      <c r="CO976" s="25"/>
      <c r="CP976" s="25"/>
      <c r="CQ976" s="25"/>
      <c r="CR976" s="25"/>
      <c r="CS976" s="25"/>
      <c r="CT976" s="25"/>
      <c r="CU976" s="25"/>
      <c r="CV976" s="25"/>
      <c r="CW976" s="25"/>
      <c r="CX976" s="25"/>
      <c r="CY976" s="25"/>
      <c r="CZ976" s="25"/>
      <c r="DA976" s="25"/>
      <c r="DB976" s="25"/>
      <c r="DC976" s="25"/>
      <c r="DD976" s="25"/>
      <c r="DE976" s="25"/>
      <c r="DF976" s="25"/>
      <c r="DG976" s="25"/>
      <c r="DH976" s="25"/>
      <c r="DI976" s="25"/>
      <c r="DJ976" s="25"/>
      <c r="DK976" s="25"/>
      <c r="DL976" s="25"/>
      <c r="DM976" s="25"/>
      <c r="DN976" s="25"/>
      <c r="DO976" s="25"/>
      <c r="DP976" s="25"/>
      <c r="DQ976" s="25"/>
      <c r="DR976" s="25"/>
      <c r="DS976" s="25"/>
      <c r="DT976" s="25"/>
      <c r="DU976" s="25"/>
      <c r="DV976" s="25"/>
      <c r="DW976" s="25"/>
      <c r="DX976" s="25"/>
      <c r="DY976" s="25"/>
      <c r="DZ976" s="25"/>
      <c r="EA976" s="25"/>
      <c r="EB976" s="25"/>
      <c r="EC976" s="25"/>
      <c r="ED976" s="25"/>
      <c r="EE976" s="25"/>
      <c r="EF976" s="25"/>
      <c r="EG976" s="25"/>
      <c r="EH976" s="25"/>
      <c r="EI976" s="25"/>
      <c r="EJ976" s="25"/>
      <c r="EK976" s="25"/>
      <c r="EL976" s="25"/>
      <c r="EM976" s="25"/>
      <c r="EN976" s="25"/>
      <c r="EO976" s="25"/>
      <c r="EP976" s="25"/>
      <c r="EQ976" s="25"/>
      <c r="ER976" s="25"/>
      <c r="ES976" s="25"/>
      <c r="ET976" s="25"/>
      <c r="EU976" s="25"/>
      <c r="EV976" s="25"/>
      <c r="EW976" s="25"/>
      <c r="EX976" s="25"/>
      <c r="EY976" s="25"/>
      <c r="EZ976" s="25"/>
      <c r="FA976" s="25"/>
      <c r="FB976" s="25"/>
      <c r="FC976" s="25"/>
      <c r="FD976" s="25"/>
      <c r="FE976" s="25"/>
      <c r="FF976" s="25"/>
      <c r="FG976" s="25"/>
      <c r="FH976" s="25"/>
      <c r="FI976" s="25"/>
      <c r="FJ976" s="25"/>
      <c r="FK976" s="25"/>
      <c r="FL976" s="25"/>
      <c r="FM976" s="25"/>
      <c r="FN976" s="25"/>
      <c r="FO976" s="25"/>
      <c r="FP976" s="25"/>
      <c r="FQ976" s="25"/>
      <c r="FR976" s="25"/>
      <c r="FS976" s="25"/>
      <c r="FT976" s="25"/>
      <c r="FU976" s="25"/>
      <c r="FV976" s="28"/>
      <c r="FW976" s="27"/>
      <c r="FX976" s="27"/>
      <c r="FY976" s="25"/>
      <c r="FZ976" s="25"/>
      <c r="GA976" s="25"/>
      <c r="GB976" s="25"/>
      <c r="GC976" s="25"/>
      <c r="GD976" s="25"/>
      <c r="GE976" s="25"/>
      <c r="GF976" s="25"/>
      <c r="GG976" s="25"/>
      <c r="GH976" s="25"/>
      <c r="GI976" s="25"/>
      <c r="GJ976" s="25"/>
      <c r="GK976" s="25"/>
      <c r="GL976" s="25"/>
      <c r="GM976" s="25"/>
      <c r="GN976" s="25"/>
      <c r="GO976" s="25"/>
      <c r="GP976" s="25"/>
      <c r="GQ976" s="25"/>
      <c r="GR976" s="25"/>
      <c r="GS976" s="25"/>
      <c r="GT976" s="25"/>
      <c r="GU976" s="25"/>
      <c r="GV976" s="25"/>
      <c r="GW976" s="25"/>
      <c r="GX976" s="25"/>
      <c r="GY976" s="25"/>
      <c r="GZ976" s="25"/>
      <c r="HA976" s="25"/>
      <c r="HB976" s="25"/>
      <c r="HC976" s="25"/>
      <c r="HD976" s="25"/>
      <c r="HE976" s="25"/>
      <c r="HF976" s="25"/>
      <c r="HG976" s="25"/>
      <c r="HH976" s="25"/>
      <c r="HI976" s="25"/>
      <c r="HJ976" s="25"/>
      <c r="HK976" s="25"/>
      <c r="HL976" s="25"/>
    </row>
    <row r="977" spans="1:220" ht="15.75" customHeight="1" x14ac:dyDescent="0.2">
      <c r="A977" s="25"/>
      <c r="B977" s="29"/>
      <c r="C977" s="26"/>
      <c r="D977" s="29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  <c r="CC977" s="25"/>
      <c r="CD977" s="25"/>
      <c r="CE977" s="25"/>
      <c r="CF977" s="25"/>
      <c r="CG977" s="25"/>
      <c r="CH977" s="25"/>
      <c r="CI977" s="25"/>
      <c r="CJ977" s="25"/>
      <c r="CK977" s="25"/>
      <c r="CL977" s="25"/>
      <c r="CM977" s="25"/>
      <c r="CN977" s="25"/>
      <c r="CO977" s="25"/>
      <c r="CP977" s="25"/>
      <c r="CQ977" s="25"/>
      <c r="CR977" s="25"/>
      <c r="CS977" s="25"/>
      <c r="CT977" s="25"/>
      <c r="CU977" s="25"/>
      <c r="CV977" s="25"/>
      <c r="CW977" s="25"/>
      <c r="CX977" s="25"/>
      <c r="CY977" s="25"/>
      <c r="CZ977" s="25"/>
      <c r="DA977" s="25"/>
      <c r="DB977" s="25"/>
      <c r="DC977" s="25"/>
      <c r="DD977" s="25"/>
      <c r="DE977" s="25"/>
      <c r="DF977" s="25"/>
      <c r="DG977" s="25"/>
      <c r="DH977" s="25"/>
      <c r="DI977" s="25"/>
      <c r="DJ977" s="25"/>
      <c r="DK977" s="25"/>
      <c r="DL977" s="25"/>
      <c r="DM977" s="25"/>
      <c r="DN977" s="25"/>
      <c r="DO977" s="25"/>
      <c r="DP977" s="25"/>
      <c r="DQ977" s="25"/>
      <c r="DR977" s="25"/>
      <c r="DS977" s="25"/>
      <c r="DT977" s="25"/>
      <c r="DU977" s="25"/>
      <c r="DV977" s="25"/>
      <c r="DW977" s="25"/>
      <c r="DX977" s="25"/>
      <c r="DY977" s="25"/>
      <c r="DZ977" s="25"/>
      <c r="EA977" s="25"/>
      <c r="EB977" s="25"/>
      <c r="EC977" s="25"/>
      <c r="ED977" s="25"/>
      <c r="EE977" s="25"/>
      <c r="EF977" s="25"/>
      <c r="EG977" s="25"/>
      <c r="EH977" s="25"/>
      <c r="EI977" s="25"/>
      <c r="EJ977" s="25"/>
      <c r="EK977" s="25"/>
      <c r="EL977" s="25"/>
      <c r="EM977" s="25"/>
      <c r="EN977" s="25"/>
      <c r="EO977" s="25"/>
      <c r="EP977" s="25"/>
      <c r="EQ977" s="25"/>
      <c r="ER977" s="25"/>
      <c r="ES977" s="25"/>
      <c r="ET977" s="25"/>
      <c r="EU977" s="25"/>
      <c r="EV977" s="25"/>
      <c r="EW977" s="25"/>
      <c r="EX977" s="25"/>
      <c r="EY977" s="25"/>
      <c r="EZ977" s="25"/>
      <c r="FA977" s="25"/>
      <c r="FB977" s="25"/>
      <c r="FC977" s="25"/>
      <c r="FD977" s="25"/>
      <c r="FE977" s="25"/>
      <c r="FF977" s="25"/>
      <c r="FG977" s="25"/>
      <c r="FH977" s="25"/>
      <c r="FI977" s="25"/>
      <c r="FJ977" s="25"/>
      <c r="FK977" s="25"/>
      <c r="FL977" s="25"/>
      <c r="FM977" s="25"/>
      <c r="FN977" s="25"/>
      <c r="FO977" s="25"/>
      <c r="FP977" s="25"/>
      <c r="FQ977" s="25"/>
      <c r="FR977" s="25"/>
      <c r="FS977" s="25"/>
      <c r="FT977" s="25"/>
      <c r="FU977" s="25"/>
      <c r="FV977" s="28"/>
      <c r="FW977" s="27"/>
      <c r="FX977" s="27"/>
      <c r="FY977" s="25"/>
      <c r="FZ977" s="25"/>
      <c r="GA977" s="25"/>
      <c r="GB977" s="25"/>
      <c r="GC977" s="25"/>
      <c r="GD977" s="25"/>
      <c r="GE977" s="25"/>
      <c r="GF977" s="25"/>
      <c r="GG977" s="25"/>
      <c r="GH977" s="25"/>
      <c r="GI977" s="25"/>
      <c r="GJ977" s="25"/>
      <c r="GK977" s="25"/>
      <c r="GL977" s="25"/>
      <c r="GM977" s="25"/>
      <c r="GN977" s="25"/>
      <c r="GO977" s="25"/>
      <c r="GP977" s="25"/>
      <c r="GQ977" s="25"/>
      <c r="GR977" s="25"/>
      <c r="GS977" s="25"/>
      <c r="GT977" s="25"/>
      <c r="GU977" s="25"/>
      <c r="GV977" s="25"/>
      <c r="GW977" s="25"/>
      <c r="GX977" s="25"/>
      <c r="GY977" s="25"/>
      <c r="GZ977" s="25"/>
      <c r="HA977" s="25"/>
      <c r="HB977" s="25"/>
      <c r="HC977" s="25"/>
      <c r="HD977" s="25"/>
      <c r="HE977" s="25"/>
      <c r="HF977" s="25"/>
      <c r="HG977" s="25"/>
      <c r="HH977" s="25"/>
      <c r="HI977" s="25"/>
      <c r="HJ977" s="25"/>
      <c r="HK977" s="25"/>
      <c r="HL977" s="25"/>
    </row>
    <row r="978" spans="1:220" ht="15.75" customHeight="1" x14ac:dyDescent="0.2">
      <c r="A978" s="25"/>
      <c r="B978" s="29"/>
      <c r="C978" s="26"/>
      <c r="D978" s="29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  <c r="CC978" s="25"/>
      <c r="CD978" s="25"/>
      <c r="CE978" s="25"/>
      <c r="CF978" s="25"/>
      <c r="CG978" s="25"/>
      <c r="CH978" s="25"/>
      <c r="CI978" s="25"/>
      <c r="CJ978" s="25"/>
      <c r="CK978" s="25"/>
      <c r="CL978" s="25"/>
      <c r="CM978" s="25"/>
      <c r="CN978" s="25"/>
      <c r="CO978" s="25"/>
      <c r="CP978" s="25"/>
      <c r="CQ978" s="25"/>
      <c r="CR978" s="25"/>
      <c r="CS978" s="25"/>
      <c r="CT978" s="25"/>
      <c r="CU978" s="25"/>
      <c r="CV978" s="25"/>
      <c r="CW978" s="25"/>
      <c r="CX978" s="25"/>
      <c r="CY978" s="25"/>
      <c r="CZ978" s="25"/>
      <c r="DA978" s="25"/>
      <c r="DB978" s="25"/>
      <c r="DC978" s="25"/>
      <c r="DD978" s="25"/>
      <c r="DE978" s="25"/>
      <c r="DF978" s="25"/>
      <c r="DG978" s="25"/>
      <c r="DH978" s="25"/>
      <c r="DI978" s="25"/>
      <c r="DJ978" s="25"/>
      <c r="DK978" s="25"/>
      <c r="DL978" s="25"/>
      <c r="DM978" s="25"/>
      <c r="DN978" s="25"/>
      <c r="DO978" s="25"/>
      <c r="DP978" s="25"/>
      <c r="DQ978" s="25"/>
      <c r="DR978" s="25"/>
      <c r="DS978" s="25"/>
      <c r="DT978" s="25"/>
      <c r="DU978" s="25"/>
      <c r="DV978" s="25"/>
      <c r="DW978" s="25"/>
      <c r="DX978" s="25"/>
      <c r="DY978" s="25"/>
      <c r="DZ978" s="25"/>
      <c r="EA978" s="25"/>
      <c r="EB978" s="25"/>
      <c r="EC978" s="25"/>
      <c r="ED978" s="25"/>
      <c r="EE978" s="25"/>
      <c r="EF978" s="25"/>
      <c r="EG978" s="25"/>
      <c r="EH978" s="25"/>
      <c r="EI978" s="25"/>
      <c r="EJ978" s="25"/>
      <c r="EK978" s="25"/>
      <c r="EL978" s="25"/>
      <c r="EM978" s="25"/>
      <c r="EN978" s="25"/>
      <c r="EO978" s="25"/>
      <c r="EP978" s="25"/>
      <c r="EQ978" s="25"/>
      <c r="ER978" s="25"/>
      <c r="ES978" s="25"/>
      <c r="ET978" s="25"/>
      <c r="EU978" s="25"/>
      <c r="EV978" s="25"/>
      <c r="EW978" s="25"/>
      <c r="EX978" s="25"/>
      <c r="EY978" s="25"/>
      <c r="EZ978" s="25"/>
      <c r="FA978" s="25"/>
      <c r="FB978" s="25"/>
      <c r="FC978" s="25"/>
      <c r="FD978" s="25"/>
      <c r="FE978" s="25"/>
      <c r="FF978" s="25"/>
      <c r="FG978" s="25"/>
      <c r="FH978" s="25"/>
      <c r="FI978" s="25"/>
      <c r="FJ978" s="25"/>
      <c r="FK978" s="25"/>
      <c r="FL978" s="25"/>
      <c r="FM978" s="25"/>
      <c r="FN978" s="25"/>
      <c r="FO978" s="25"/>
      <c r="FP978" s="25"/>
      <c r="FQ978" s="25"/>
      <c r="FR978" s="25"/>
      <c r="FS978" s="25"/>
      <c r="FT978" s="25"/>
      <c r="FU978" s="25"/>
      <c r="FV978" s="28"/>
      <c r="FW978" s="27"/>
      <c r="FX978" s="27"/>
      <c r="FY978" s="25"/>
      <c r="FZ978" s="25"/>
      <c r="GA978" s="25"/>
      <c r="GB978" s="25"/>
      <c r="GC978" s="25"/>
      <c r="GD978" s="25"/>
      <c r="GE978" s="25"/>
      <c r="GF978" s="25"/>
      <c r="GG978" s="25"/>
      <c r="GH978" s="25"/>
      <c r="GI978" s="25"/>
      <c r="GJ978" s="25"/>
      <c r="GK978" s="25"/>
      <c r="GL978" s="25"/>
      <c r="GM978" s="25"/>
      <c r="GN978" s="25"/>
      <c r="GO978" s="25"/>
      <c r="GP978" s="25"/>
      <c r="GQ978" s="25"/>
      <c r="GR978" s="25"/>
      <c r="GS978" s="25"/>
      <c r="GT978" s="25"/>
      <c r="GU978" s="25"/>
      <c r="GV978" s="25"/>
      <c r="GW978" s="25"/>
      <c r="GX978" s="25"/>
      <c r="GY978" s="25"/>
      <c r="GZ978" s="25"/>
      <c r="HA978" s="25"/>
      <c r="HB978" s="25"/>
      <c r="HC978" s="25"/>
      <c r="HD978" s="25"/>
      <c r="HE978" s="25"/>
      <c r="HF978" s="25"/>
      <c r="HG978" s="25"/>
      <c r="HH978" s="25"/>
      <c r="HI978" s="25"/>
      <c r="HJ978" s="25"/>
      <c r="HK978" s="25"/>
      <c r="HL978" s="25"/>
    </row>
    <row r="979" spans="1:220" ht="15.75" customHeight="1" x14ac:dyDescent="0.2">
      <c r="A979" s="25"/>
      <c r="B979" s="29"/>
      <c r="C979" s="26"/>
      <c r="D979" s="29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  <c r="CC979" s="25"/>
      <c r="CD979" s="25"/>
      <c r="CE979" s="25"/>
      <c r="CF979" s="25"/>
      <c r="CG979" s="25"/>
      <c r="CH979" s="25"/>
      <c r="CI979" s="25"/>
      <c r="CJ979" s="25"/>
      <c r="CK979" s="25"/>
      <c r="CL979" s="25"/>
      <c r="CM979" s="25"/>
      <c r="CN979" s="25"/>
      <c r="CO979" s="25"/>
      <c r="CP979" s="25"/>
      <c r="CQ979" s="25"/>
      <c r="CR979" s="25"/>
      <c r="CS979" s="25"/>
      <c r="CT979" s="25"/>
      <c r="CU979" s="25"/>
      <c r="CV979" s="25"/>
      <c r="CW979" s="25"/>
      <c r="CX979" s="25"/>
      <c r="CY979" s="25"/>
      <c r="CZ979" s="25"/>
      <c r="DA979" s="25"/>
      <c r="DB979" s="25"/>
      <c r="DC979" s="25"/>
      <c r="DD979" s="25"/>
      <c r="DE979" s="25"/>
      <c r="DF979" s="25"/>
      <c r="DG979" s="25"/>
      <c r="DH979" s="25"/>
      <c r="DI979" s="25"/>
      <c r="DJ979" s="25"/>
      <c r="DK979" s="25"/>
      <c r="DL979" s="25"/>
      <c r="DM979" s="25"/>
      <c r="DN979" s="25"/>
      <c r="DO979" s="25"/>
      <c r="DP979" s="25"/>
      <c r="DQ979" s="25"/>
      <c r="DR979" s="25"/>
      <c r="DS979" s="25"/>
      <c r="DT979" s="25"/>
      <c r="DU979" s="25"/>
      <c r="DV979" s="25"/>
      <c r="DW979" s="25"/>
      <c r="DX979" s="25"/>
      <c r="DY979" s="25"/>
      <c r="DZ979" s="25"/>
      <c r="EA979" s="25"/>
      <c r="EB979" s="25"/>
      <c r="EC979" s="25"/>
      <c r="ED979" s="25"/>
      <c r="EE979" s="25"/>
      <c r="EF979" s="25"/>
      <c r="EG979" s="25"/>
      <c r="EH979" s="25"/>
      <c r="EI979" s="25"/>
      <c r="EJ979" s="25"/>
      <c r="EK979" s="25"/>
      <c r="EL979" s="25"/>
      <c r="EM979" s="25"/>
      <c r="EN979" s="25"/>
      <c r="EO979" s="25"/>
      <c r="EP979" s="25"/>
      <c r="EQ979" s="25"/>
      <c r="ER979" s="25"/>
      <c r="ES979" s="25"/>
      <c r="ET979" s="25"/>
      <c r="EU979" s="25"/>
      <c r="EV979" s="25"/>
      <c r="EW979" s="25"/>
      <c r="EX979" s="25"/>
      <c r="EY979" s="25"/>
      <c r="EZ979" s="25"/>
      <c r="FA979" s="25"/>
      <c r="FB979" s="25"/>
      <c r="FC979" s="25"/>
      <c r="FD979" s="25"/>
      <c r="FE979" s="25"/>
      <c r="FF979" s="25"/>
      <c r="FG979" s="25"/>
      <c r="FH979" s="25"/>
      <c r="FI979" s="25"/>
      <c r="FJ979" s="25"/>
      <c r="FK979" s="25"/>
      <c r="FL979" s="25"/>
      <c r="FM979" s="25"/>
      <c r="FN979" s="25"/>
      <c r="FO979" s="25"/>
      <c r="FP979" s="25"/>
      <c r="FQ979" s="25"/>
      <c r="FR979" s="25"/>
      <c r="FS979" s="25"/>
      <c r="FT979" s="25"/>
      <c r="FU979" s="25"/>
      <c r="FV979" s="28"/>
      <c r="FW979" s="27"/>
      <c r="FX979" s="27"/>
      <c r="FY979" s="25"/>
      <c r="FZ979" s="25"/>
      <c r="GA979" s="25"/>
      <c r="GB979" s="25"/>
      <c r="GC979" s="25"/>
      <c r="GD979" s="25"/>
      <c r="GE979" s="25"/>
      <c r="GF979" s="25"/>
      <c r="GG979" s="25"/>
      <c r="GH979" s="25"/>
      <c r="GI979" s="25"/>
      <c r="GJ979" s="25"/>
      <c r="GK979" s="25"/>
      <c r="GL979" s="25"/>
      <c r="GM979" s="25"/>
      <c r="GN979" s="25"/>
      <c r="GO979" s="25"/>
      <c r="GP979" s="25"/>
      <c r="GQ979" s="25"/>
      <c r="GR979" s="25"/>
      <c r="GS979" s="25"/>
      <c r="GT979" s="25"/>
      <c r="GU979" s="25"/>
      <c r="GV979" s="25"/>
      <c r="GW979" s="25"/>
      <c r="GX979" s="25"/>
      <c r="GY979" s="25"/>
      <c r="GZ979" s="25"/>
      <c r="HA979" s="25"/>
      <c r="HB979" s="25"/>
      <c r="HC979" s="25"/>
      <c r="HD979" s="25"/>
      <c r="HE979" s="25"/>
      <c r="HF979" s="25"/>
      <c r="HG979" s="25"/>
      <c r="HH979" s="25"/>
      <c r="HI979" s="25"/>
      <c r="HJ979" s="25"/>
      <c r="HK979" s="25"/>
      <c r="HL979" s="25"/>
    </row>
    <row r="980" spans="1:220" ht="15.75" customHeight="1" x14ac:dyDescent="0.2">
      <c r="A980" s="25"/>
      <c r="B980" s="29"/>
      <c r="C980" s="26"/>
      <c r="D980" s="29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  <c r="CC980" s="25"/>
      <c r="CD980" s="25"/>
      <c r="CE980" s="25"/>
      <c r="CF980" s="25"/>
      <c r="CG980" s="25"/>
      <c r="CH980" s="25"/>
      <c r="CI980" s="25"/>
      <c r="CJ980" s="25"/>
      <c r="CK980" s="25"/>
      <c r="CL980" s="25"/>
      <c r="CM980" s="25"/>
      <c r="CN980" s="25"/>
      <c r="CO980" s="25"/>
      <c r="CP980" s="25"/>
      <c r="CQ980" s="25"/>
      <c r="CR980" s="25"/>
      <c r="CS980" s="25"/>
      <c r="CT980" s="25"/>
      <c r="CU980" s="25"/>
      <c r="CV980" s="25"/>
      <c r="CW980" s="25"/>
      <c r="CX980" s="25"/>
      <c r="CY980" s="25"/>
      <c r="CZ980" s="25"/>
      <c r="DA980" s="25"/>
      <c r="DB980" s="25"/>
      <c r="DC980" s="25"/>
      <c r="DD980" s="25"/>
      <c r="DE980" s="25"/>
      <c r="DF980" s="25"/>
      <c r="DG980" s="25"/>
      <c r="DH980" s="25"/>
      <c r="DI980" s="25"/>
      <c r="DJ980" s="25"/>
      <c r="DK980" s="25"/>
      <c r="DL980" s="25"/>
      <c r="DM980" s="25"/>
      <c r="DN980" s="25"/>
      <c r="DO980" s="25"/>
      <c r="DP980" s="25"/>
      <c r="DQ980" s="25"/>
      <c r="DR980" s="25"/>
      <c r="DS980" s="25"/>
      <c r="DT980" s="25"/>
      <c r="DU980" s="25"/>
      <c r="DV980" s="25"/>
      <c r="DW980" s="25"/>
      <c r="DX980" s="25"/>
      <c r="DY980" s="25"/>
      <c r="DZ980" s="25"/>
      <c r="EA980" s="25"/>
      <c r="EB980" s="25"/>
      <c r="EC980" s="25"/>
      <c r="ED980" s="25"/>
      <c r="EE980" s="25"/>
      <c r="EF980" s="25"/>
      <c r="EG980" s="25"/>
      <c r="EH980" s="25"/>
      <c r="EI980" s="25"/>
      <c r="EJ980" s="25"/>
      <c r="EK980" s="25"/>
      <c r="EL980" s="25"/>
      <c r="EM980" s="25"/>
      <c r="EN980" s="25"/>
      <c r="EO980" s="25"/>
      <c r="EP980" s="25"/>
      <c r="EQ980" s="25"/>
      <c r="ER980" s="25"/>
      <c r="ES980" s="25"/>
      <c r="ET980" s="25"/>
      <c r="EU980" s="25"/>
      <c r="EV980" s="25"/>
      <c r="EW980" s="25"/>
      <c r="EX980" s="25"/>
      <c r="EY980" s="25"/>
      <c r="EZ980" s="25"/>
      <c r="FA980" s="25"/>
      <c r="FB980" s="25"/>
      <c r="FC980" s="25"/>
      <c r="FD980" s="25"/>
      <c r="FE980" s="25"/>
      <c r="FF980" s="25"/>
      <c r="FG980" s="25"/>
      <c r="FH980" s="25"/>
      <c r="FI980" s="25"/>
      <c r="FJ980" s="25"/>
      <c r="FK980" s="25"/>
      <c r="FL980" s="25"/>
      <c r="FM980" s="25"/>
      <c r="FN980" s="25"/>
      <c r="FO980" s="25"/>
      <c r="FP980" s="25"/>
      <c r="FQ980" s="25"/>
      <c r="FR980" s="25"/>
      <c r="FS980" s="25"/>
      <c r="FT980" s="25"/>
      <c r="FU980" s="25"/>
      <c r="FV980" s="28"/>
      <c r="FW980" s="27"/>
      <c r="FX980" s="27"/>
      <c r="FY980" s="25"/>
      <c r="FZ980" s="25"/>
      <c r="GA980" s="25"/>
      <c r="GB980" s="25"/>
      <c r="GC980" s="25"/>
      <c r="GD980" s="25"/>
      <c r="GE980" s="25"/>
      <c r="GF980" s="25"/>
      <c r="GG980" s="25"/>
      <c r="GH980" s="25"/>
      <c r="GI980" s="25"/>
      <c r="GJ980" s="25"/>
      <c r="GK980" s="25"/>
      <c r="GL980" s="25"/>
      <c r="GM980" s="25"/>
      <c r="GN980" s="25"/>
      <c r="GO980" s="25"/>
      <c r="GP980" s="25"/>
      <c r="GQ980" s="25"/>
      <c r="GR980" s="25"/>
      <c r="GS980" s="25"/>
      <c r="GT980" s="25"/>
      <c r="GU980" s="25"/>
      <c r="GV980" s="25"/>
      <c r="GW980" s="25"/>
      <c r="GX980" s="25"/>
      <c r="GY980" s="25"/>
      <c r="GZ980" s="25"/>
      <c r="HA980" s="25"/>
      <c r="HB980" s="25"/>
      <c r="HC980" s="25"/>
      <c r="HD980" s="25"/>
      <c r="HE980" s="25"/>
      <c r="HF980" s="25"/>
      <c r="HG980" s="25"/>
      <c r="HH980" s="25"/>
      <c r="HI980" s="25"/>
      <c r="HJ980" s="25"/>
      <c r="HK980" s="25"/>
      <c r="HL980" s="25"/>
    </row>
    <row r="981" spans="1:220" ht="15.75" customHeight="1" x14ac:dyDescent="0.2">
      <c r="A981" s="25"/>
      <c r="B981" s="29"/>
      <c r="C981" s="26"/>
      <c r="D981" s="29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  <c r="CI981" s="25"/>
      <c r="CJ981" s="25"/>
      <c r="CK981" s="25"/>
      <c r="CL981" s="25"/>
      <c r="CM981" s="25"/>
      <c r="CN981" s="25"/>
      <c r="CO981" s="25"/>
      <c r="CP981" s="25"/>
      <c r="CQ981" s="25"/>
      <c r="CR981" s="25"/>
      <c r="CS981" s="25"/>
      <c r="CT981" s="25"/>
      <c r="CU981" s="25"/>
      <c r="CV981" s="25"/>
      <c r="CW981" s="25"/>
      <c r="CX981" s="25"/>
      <c r="CY981" s="25"/>
      <c r="CZ981" s="25"/>
      <c r="DA981" s="25"/>
      <c r="DB981" s="25"/>
      <c r="DC981" s="25"/>
      <c r="DD981" s="25"/>
      <c r="DE981" s="25"/>
      <c r="DF981" s="25"/>
      <c r="DG981" s="25"/>
      <c r="DH981" s="25"/>
      <c r="DI981" s="25"/>
      <c r="DJ981" s="25"/>
      <c r="DK981" s="25"/>
      <c r="DL981" s="25"/>
      <c r="DM981" s="25"/>
      <c r="DN981" s="25"/>
      <c r="DO981" s="25"/>
      <c r="DP981" s="25"/>
      <c r="DQ981" s="25"/>
      <c r="DR981" s="25"/>
      <c r="DS981" s="25"/>
      <c r="DT981" s="25"/>
      <c r="DU981" s="25"/>
      <c r="DV981" s="25"/>
      <c r="DW981" s="25"/>
      <c r="DX981" s="25"/>
      <c r="DY981" s="25"/>
      <c r="DZ981" s="25"/>
      <c r="EA981" s="25"/>
      <c r="EB981" s="25"/>
      <c r="EC981" s="25"/>
      <c r="ED981" s="25"/>
      <c r="EE981" s="25"/>
      <c r="EF981" s="25"/>
      <c r="EG981" s="25"/>
      <c r="EH981" s="25"/>
      <c r="EI981" s="25"/>
      <c r="EJ981" s="25"/>
      <c r="EK981" s="25"/>
      <c r="EL981" s="25"/>
      <c r="EM981" s="25"/>
      <c r="EN981" s="25"/>
      <c r="EO981" s="25"/>
      <c r="EP981" s="25"/>
      <c r="EQ981" s="25"/>
      <c r="ER981" s="25"/>
      <c r="ES981" s="25"/>
      <c r="ET981" s="25"/>
      <c r="EU981" s="25"/>
      <c r="EV981" s="25"/>
      <c r="EW981" s="25"/>
      <c r="EX981" s="25"/>
      <c r="EY981" s="25"/>
      <c r="EZ981" s="25"/>
      <c r="FA981" s="25"/>
      <c r="FB981" s="25"/>
      <c r="FC981" s="25"/>
      <c r="FD981" s="25"/>
      <c r="FE981" s="25"/>
      <c r="FF981" s="25"/>
      <c r="FG981" s="25"/>
      <c r="FH981" s="25"/>
      <c r="FI981" s="25"/>
      <c r="FJ981" s="25"/>
      <c r="FK981" s="25"/>
      <c r="FL981" s="25"/>
      <c r="FM981" s="25"/>
      <c r="FN981" s="25"/>
      <c r="FO981" s="25"/>
      <c r="FP981" s="25"/>
      <c r="FQ981" s="25"/>
      <c r="FR981" s="25"/>
      <c r="FS981" s="25"/>
      <c r="FT981" s="25"/>
      <c r="FU981" s="25"/>
      <c r="FV981" s="28"/>
      <c r="FW981" s="27"/>
      <c r="FX981" s="27"/>
      <c r="FY981" s="25"/>
      <c r="FZ981" s="25"/>
      <c r="GA981" s="25"/>
      <c r="GB981" s="25"/>
      <c r="GC981" s="25"/>
      <c r="GD981" s="25"/>
      <c r="GE981" s="25"/>
      <c r="GF981" s="25"/>
      <c r="GG981" s="25"/>
      <c r="GH981" s="25"/>
      <c r="GI981" s="25"/>
      <c r="GJ981" s="25"/>
      <c r="GK981" s="25"/>
      <c r="GL981" s="25"/>
      <c r="GM981" s="25"/>
      <c r="GN981" s="25"/>
      <c r="GO981" s="25"/>
      <c r="GP981" s="25"/>
      <c r="GQ981" s="25"/>
      <c r="GR981" s="25"/>
      <c r="GS981" s="25"/>
      <c r="GT981" s="25"/>
      <c r="GU981" s="25"/>
      <c r="GV981" s="25"/>
      <c r="GW981" s="25"/>
      <c r="GX981" s="25"/>
      <c r="GY981" s="25"/>
      <c r="GZ981" s="25"/>
      <c r="HA981" s="25"/>
      <c r="HB981" s="25"/>
      <c r="HC981" s="25"/>
      <c r="HD981" s="25"/>
      <c r="HE981" s="25"/>
      <c r="HF981" s="25"/>
      <c r="HG981" s="25"/>
      <c r="HH981" s="25"/>
      <c r="HI981" s="25"/>
      <c r="HJ981" s="25"/>
      <c r="HK981" s="25"/>
      <c r="HL981" s="25"/>
    </row>
    <row r="982" spans="1:220" ht="15.75" customHeight="1" x14ac:dyDescent="0.2">
      <c r="A982" s="25"/>
      <c r="B982" s="29"/>
      <c r="C982" s="26"/>
      <c r="D982" s="29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  <c r="CI982" s="25"/>
      <c r="CJ982" s="25"/>
      <c r="CK982" s="25"/>
      <c r="CL982" s="25"/>
      <c r="CM982" s="25"/>
      <c r="CN982" s="25"/>
      <c r="CO982" s="25"/>
      <c r="CP982" s="25"/>
      <c r="CQ982" s="25"/>
      <c r="CR982" s="25"/>
      <c r="CS982" s="25"/>
      <c r="CT982" s="25"/>
      <c r="CU982" s="25"/>
      <c r="CV982" s="25"/>
      <c r="CW982" s="25"/>
      <c r="CX982" s="25"/>
      <c r="CY982" s="25"/>
      <c r="CZ982" s="25"/>
      <c r="DA982" s="25"/>
      <c r="DB982" s="25"/>
      <c r="DC982" s="25"/>
      <c r="DD982" s="25"/>
      <c r="DE982" s="25"/>
      <c r="DF982" s="25"/>
      <c r="DG982" s="25"/>
      <c r="DH982" s="25"/>
      <c r="DI982" s="25"/>
      <c r="DJ982" s="25"/>
      <c r="DK982" s="25"/>
      <c r="DL982" s="25"/>
      <c r="DM982" s="25"/>
      <c r="DN982" s="25"/>
      <c r="DO982" s="25"/>
      <c r="DP982" s="25"/>
      <c r="DQ982" s="25"/>
      <c r="DR982" s="25"/>
      <c r="DS982" s="25"/>
      <c r="DT982" s="25"/>
      <c r="DU982" s="25"/>
      <c r="DV982" s="25"/>
      <c r="DW982" s="25"/>
      <c r="DX982" s="25"/>
      <c r="DY982" s="25"/>
      <c r="DZ982" s="25"/>
      <c r="EA982" s="25"/>
      <c r="EB982" s="25"/>
      <c r="EC982" s="25"/>
      <c r="ED982" s="25"/>
      <c r="EE982" s="25"/>
      <c r="EF982" s="25"/>
      <c r="EG982" s="25"/>
      <c r="EH982" s="25"/>
      <c r="EI982" s="25"/>
      <c r="EJ982" s="25"/>
      <c r="EK982" s="25"/>
      <c r="EL982" s="25"/>
      <c r="EM982" s="25"/>
      <c r="EN982" s="25"/>
      <c r="EO982" s="25"/>
      <c r="EP982" s="25"/>
      <c r="EQ982" s="25"/>
      <c r="ER982" s="25"/>
      <c r="ES982" s="25"/>
      <c r="ET982" s="25"/>
      <c r="EU982" s="25"/>
      <c r="EV982" s="25"/>
      <c r="EW982" s="25"/>
      <c r="EX982" s="25"/>
      <c r="EY982" s="25"/>
      <c r="EZ982" s="25"/>
      <c r="FA982" s="25"/>
      <c r="FB982" s="25"/>
      <c r="FC982" s="25"/>
      <c r="FD982" s="25"/>
      <c r="FE982" s="25"/>
      <c r="FF982" s="25"/>
      <c r="FG982" s="25"/>
      <c r="FH982" s="25"/>
      <c r="FI982" s="25"/>
      <c r="FJ982" s="25"/>
      <c r="FK982" s="25"/>
      <c r="FL982" s="25"/>
      <c r="FM982" s="25"/>
      <c r="FN982" s="25"/>
      <c r="FO982" s="25"/>
      <c r="FP982" s="25"/>
      <c r="FQ982" s="25"/>
      <c r="FR982" s="25"/>
      <c r="FS982" s="25"/>
      <c r="FT982" s="25"/>
      <c r="FU982" s="25"/>
      <c r="FV982" s="28"/>
      <c r="FW982" s="27"/>
      <c r="FX982" s="27"/>
      <c r="FY982" s="25"/>
      <c r="FZ982" s="25"/>
      <c r="GA982" s="25"/>
      <c r="GB982" s="25"/>
      <c r="GC982" s="25"/>
      <c r="GD982" s="25"/>
      <c r="GE982" s="25"/>
      <c r="GF982" s="25"/>
      <c r="GG982" s="25"/>
      <c r="GH982" s="25"/>
      <c r="GI982" s="25"/>
      <c r="GJ982" s="25"/>
      <c r="GK982" s="25"/>
      <c r="GL982" s="25"/>
      <c r="GM982" s="25"/>
      <c r="GN982" s="25"/>
      <c r="GO982" s="25"/>
      <c r="GP982" s="25"/>
      <c r="GQ982" s="25"/>
      <c r="GR982" s="25"/>
      <c r="GS982" s="25"/>
      <c r="GT982" s="25"/>
      <c r="GU982" s="25"/>
      <c r="GV982" s="25"/>
      <c r="GW982" s="25"/>
      <c r="GX982" s="25"/>
      <c r="GY982" s="25"/>
      <c r="GZ982" s="25"/>
      <c r="HA982" s="25"/>
      <c r="HB982" s="25"/>
      <c r="HC982" s="25"/>
      <c r="HD982" s="25"/>
      <c r="HE982" s="25"/>
      <c r="HF982" s="25"/>
      <c r="HG982" s="25"/>
      <c r="HH982" s="25"/>
      <c r="HI982" s="25"/>
      <c r="HJ982" s="25"/>
      <c r="HK982" s="25"/>
      <c r="HL982" s="25"/>
    </row>
    <row r="983" spans="1:220" ht="15.75" customHeight="1" x14ac:dyDescent="0.2">
      <c r="A983" s="25"/>
      <c r="B983" s="29"/>
      <c r="C983" s="26"/>
      <c r="D983" s="29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  <c r="CC983" s="25"/>
      <c r="CD983" s="25"/>
      <c r="CE983" s="25"/>
      <c r="CF983" s="25"/>
      <c r="CG983" s="25"/>
      <c r="CH983" s="25"/>
      <c r="CI983" s="25"/>
      <c r="CJ983" s="25"/>
      <c r="CK983" s="25"/>
      <c r="CL983" s="25"/>
      <c r="CM983" s="25"/>
      <c r="CN983" s="25"/>
      <c r="CO983" s="25"/>
      <c r="CP983" s="25"/>
      <c r="CQ983" s="25"/>
      <c r="CR983" s="25"/>
      <c r="CS983" s="25"/>
      <c r="CT983" s="25"/>
      <c r="CU983" s="25"/>
      <c r="CV983" s="25"/>
      <c r="CW983" s="25"/>
      <c r="CX983" s="25"/>
      <c r="CY983" s="25"/>
      <c r="CZ983" s="25"/>
      <c r="DA983" s="25"/>
      <c r="DB983" s="25"/>
      <c r="DC983" s="25"/>
      <c r="DD983" s="25"/>
      <c r="DE983" s="25"/>
      <c r="DF983" s="25"/>
      <c r="DG983" s="25"/>
      <c r="DH983" s="25"/>
      <c r="DI983" s="25"/>
      <c r="DJ983" s="25"/>
      <c r="DK983" s="25"/>
      <c r="DL983" s="25"/>
      <c r="DM983" s="25"/>
      <c r="DN983" s="25"/>
      <c r="DO983" s="25"/>
      <c r="DP983" s="25"/>
      <c r="DQ983" s="25"/>
      <c r="DR983" s="25"/>
      <c r="DS983" s="25"/>
      <c r="DT983" s="25"/>
      <c r="DU983" s="25"/>
      <c r="DV983" s="25"/>
      <c r="DW983" s="25"/>
      <c r="DX983" s="25"/>
      <c r="DY983" s="25"/>
      <c r="DZ983" s="25"/>
      <c r="EA983" s="25"/>
      <c r="EB983" s="25"/>
      <c r="EC983" s="25"/>
      <c r="ED983" s="25"/>
      <c r="EE983" s="25"/>
      <c r="EF983" s="25"/>
      <c r="EG983" s="25"/>
      <c r="EH983" s="25"/>
      <c r="EI983" s="25"/>
      <c r="EJ983" s="25"/>
      <c r="EK983" s="25"/>
      <c r="EL983" s="25"/>
      <c r="EM983" s="25"/>
      <c r="EN983" s="25"/>
      <c r="EO983" s="25"/>
      <c r="EP983" s="25"/>
      <c r="EQ983" s="25"/>
      <c r="ER983" s="25"/>
      <c r="ES983" s="25"/>
      <c r="ET983" s="25"/>
      <c r="EU983" s="25"/>
      <c r="EV983" s="25"/>
      <c r="EW983" s="25"/>
      <c r="EX983" s="25"/>
      <c r="EY983" s="25"/>
      <c r="EZ983" s="25"/>
      <c r="FA983" s="25"/>
      <c r="FB983" s="25"/>
      <c r="FC983" s="25"/>
      <c r="FD983" s="25"/>
      <c r="FE983" s="25"/>
      <c r="FF983" s="25"/>
      <c r="FG983" s="25"/>
      <c r="FH983" s="25"/>
      <c r="FI983" s="25"/>
      <c r="FJ983" s="25"/>
      <c r="FK983" s="25"/>
      <c r="FL983" s="25"/>
      <c r="FM983" s="25"/>
      <c r="FN983" s="25"/>
      <c r="FO983" s="25"/>
      <c r="FP983" s="25"/>
      <c r="FQ983" s="25"/>
      <c r="FR983" s="25"/>
      <c r="FS983" s="25"/>
      <c r="FT983" s="25"/>
      <c r="FU983" s="25"/>
      <c r="FV983" s="28"/>
      <c r="FW983" s="27"/>
      <c r="FX983" s="27"/>
      <c r="FY983" s="25"/>
      <c r="FZ983" s="25"/>
      <c r="GA983" s="25"/>
      <c r="GB983" s="25"/>
      <c r="GC983" s="25"/>
      <c r="GD983" s="25"/>
      <c r="GE983" s="25"/>
      <c r="GF983" s="25"/>
      <c r="GG983" s="25"/>
      <c r="GH983" s="25"/>
      <c r="GI983" s="25"/>
      <c r="GJ983" s="25"/>
      <c r="GK983" s="25"/>
      <c r="GL983" s="25"/>
      <c r="GM983" s="25"/>
      <c r="GN983" s="25"/>
      <c r="GO983" s="25"/>
      <c r="GP983" s="25"/>
      <c r="GQ983" s="25"/>
      <c r="GR983" s="25"/>
      <c r="GS983" s="25"/>
      <c r="GT983" s="25"/>
      <c r="GU983" s="25"/>
      <c r="GV983" s="25"/>
      <c r="GW983" s="25"/>
      <c r="GX983" s="25"/>
      <c r="GY983" s="25"/>
      <c r="GZ983" s="25"/>
      <c r="HA983" s="25"/>
      <c r="HB983" s="25"/>
      <c r="HC983" s="25"/>
      <c r="HD983" s="25"/>
      <c r="HE983" s="25"/>
      <c r="HF983" s="25"/>
      <c r="HG983" s="25"/>
      <c r="HH983" s="25"/>
      <c r="HI983" s="25"/>
      <c r="HJ983" s="25"/>
      <c r="HK983" s="25"/>
      <c r="HL983" s="25"/>
    </row>
    <row r="984" spans="1:220" ht="15.75" customHeight="1" x14ac:dyDescent="0.2">
      <c r="A984" s="25"/>
      <c r="B984" s="29"/>
      <c r="C984" s="26"/>
      <c r="D984" s="29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  <c r="CC984" s="25"/>
      <c r="CD984" s="25"/>
      <c r="CE984" s="25"/>
      <c r="CF984" s="25"/>
      <c r="CG984" s="25"/>
      <c r="CH984" s="25"/>
      <c r="CI984" s="25"/>
      <c r="CJ984" s="25"/>
      <c r="CK984" s="25"/>
      <c r="CL984" s="25"/>
      <c r="CM984" s="25"/>
      <c r="CN984" s="25"/>
      <c r="CO984" s="25"/>
      <c r="CP984" s="25"/>
      <c r="CQ984" s="25"/>
      <c r="CR984" s="25"/>
      <c r="CS984" s="25"/>
      <c r="CT984" s="25"/>
      <c r="CU984" s="25"/>
      <c r="CV984" s="25"/>
      <c r="CW984" s="25"/>
      <c r="CX984" s="25"/>
      <c r="CY984" s="25"/>
      <c r="CZ984" s="25"/>
      <c r="DA984" s="25"/>
      <c r="DB984" s="25"/>
      <c r="DC984" s="25"/>
      <c r="DD984" s="25"/>
      <c r="DE984" s="25"/>
      <c r="DF984" s="25"/>
      <c r="DG984" s="25"/>
      <c r="DH984" s="25"/>
      <c r="DI984" s="25"/>
      <c r="DJ984" s="25"/>
      <c r="DK984" s="25"/>
      <c r="DL984" s="25"/>
      <c r="DM984" s="25"/>
      <c r="DN984" s="25"/>
      <c r="DO984" s="25"/>
      <c r="DP984" s="25"/>
      <c r="DQ984" s="25"/>
      <c r="DR984" s="25"/>
      <c r="DS984" s="25"/>
      <c r="DT984" s="25"/>
      <c r="DU984" s="25"/>
      <c r="DV984" s="25"/>
      <c r="DW984" s="25"/>
      <c r="DX984" s="25"/>
      <c r="DY984" s="25"/>
      <c r="DZ984" s="25"/>
      <c r="EA984" s="25"/>
      <c r="EB984" s="25"/>
      <c r="EC984" s="25"/>
      <c r="ED984" s="25"/>
      <c r="EE984" s="25"/>
      <c r="EF984" s="25"/>
      <c r="EG984" s="25"/>
      <c r="EH984" s="25"/>
      <c r="EI984" s="25"/>
      <c r="EJ984" s="25"/>
      <c r="EK984" s="25"/>
      <c r="EL984" s="25"/>
      <c r="EM984" s="25"/>
      <c r="EN984" s="25"/>
      <c r="EO984" s="25"/>
      <c r="EP984" s="25"/>
      <c r="EQ984" s="25"/>
      <c r="ER984" s="25"/>
      <c r="ES984" s="25"/>
      <c r="ET984" s="25"/>
      <c r="EU984" s="25"/>
      <c r="EV984" s="25"/>
      <c r="EW984" s="25"/>
      <c r="EX984" s="25"/>
      <c r="EY984" s="25"/>
      <c r="EZ984" s="25"/>
      <c r="FA984" s="25"/>
      <c r="FB984" s="25"/>
      <c r="FC984" s="25"/>
      <c r="FD984" s="25"/>
      <c r="FE984" s="25"/>
      <c r="FF984" s="25"/>
      <c r="FG984" s="25"/>
      <c r="FH984" s="25"/>
      <c r="FI984" s="25"/>
      <c r="FJ984" s="25"/>
      <c r="FK984" s="25"/>
      <c r="FL984" s="25"/>
      <c r="FM984" s="25"/>
      <c r="FN984" s="25"/>
      <c r="FO984" s="25"/>
      <c r="FP984" s="25"/>
      <c r="FQ984" s="25"/>
      <c r="FR984" s="25"/>
      <c r="FS984" s="25"/>
      <c r="FT984" s="25"/>
      <c r="FU984" s="25"/>
      <c r="FV984" s="28"/>
      <c r="FW984" s="27"/>
      <c r="FX984" s="27"/>
      <c r="FY984" s="25"/>
      <c r="FZ984" s="25"/>
      <c r="GA984" s="25"/>
      <c r="GB984" s="25"/>
      <c r="GC984" s="25"/>
      <c r="GD984" s="25"/>
      <c r="GE984" s="25"/>
      <c r="GF984" s="25"/>
      <c r="GG984" s="25"/>
      <c r="GH984" s="25"/>
      <c r="GI984" s="25"/>
      <c r="GJ984" s="25"/>
      <c r="GK984" s="25"/>
      <c r="GL984" s="25"/>
      <c r="GM984" s="25"/>
      <c r="GN984" s="25"/>
      <c r="GO984" s="25"/>
      <c r="GP984" s="25"/>
      <c r="GQ984" s="25"/>
      <c r="GR984" s="25"/>
      <c r="GS984" s="25"/>
      <c r="GT984" s="25"/>
      <c r="GU984" s="25"/>
      <c r="GV984" s="25"/>
      <c r="GW984" s="25"/>
      <c r="GX984" s="25"/>
      <c r="GY984" s="25"/>
      <c r="GZ984" s="25"/>
      <c r="HA984" s="25"/>
      <c r="HB984" s="25"/>
      <c r="HC984" s="25"/>
      <c r="HD984" s="25"/>
      <c r="HE984" s="25"/>
      <c r="HF984" s="25"/>
      <c r="HG984" s="25"/>
      <c r="HH984" s="25"/>
      <c r="HI984" s="25"/>
      <c r="HJ984" s="25"/>
      <c r="HK984" s="25"/>
      <c r="HL984" s="25"/>
    </row>
    <row r="985" spans="1:220" ht="15.75" customHeight="1" x14ac:dyDescent="0.2">
      <c r="A985" s="25"/>
      <c r="B985" s="29"/>
      <c r="C985" s="26"/>
      <c r="D985" s="29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  <c r="CI985" s="25"/>
      <c r="CJ985" s="25"/>
      <c r="CK985" s="25"/>
      <c r="CL985" s="25"/>
      <c r="CM985" s="25"/>
      <c r="CN985" s="25"/>
      <c r="CO985" s="25"/>
      <c r="CP985" s="25"/>
      <c r="CQ985" s="25"/>
      <c r="CR985" s="25"/>
      <c r="CS985" s="25"/>
      <c r="CT985" s="25"/>
      <c r="CU985" s="25"/>
      <c r="CV985" s="25"/>
      <c r="CW985" s="25"/>
      <c r="CX985" s="25"/>
      <c r="CY985" s="25"/>
      <c r="CZ985" s="25"/>
      <c r="DA985" s="25"/>
      <c r="DB985" s="25"/>
      <c r="DC985" s="25"/>
      <c r="DD985" s="25"/>
      <c r="DE985" s="25"/>
      <c r="DF985" s="25"/>
      <c r="DG985" s="25"/>
      <c r="DH985" s="25"/>
      <c r="DI985" s="25"/>
      <c r="DJ985" s="25"/>
      <c r="DK985" s="25"/>
      <c r="DL985" s="25"/>
      <c r="DM985" s="25"/>
      <c r="DN985" s="25"/>
      <c r="DO985" s="25"/>
      <c r="DP985" s="25"/>
      <c r="DQ985" s="25"/>
      <c r="DR985" s="25"/>
      <c r="DS985" s="25"/>
      <c r="DT985" s="25"/>
      <c r="DU985" s="25"/>
      <c r="DV985" s="25"/>
      <c r="DW985" s="25"/>
      <c r="DX985" s="25"/>
      <c r="DY985" s="25"/>
      <c r="DZ985" s="25"/>
      <c r="EA985" s="25"/>
      <c r="EB985" s="25"/>
      <c r="EC985" s="25"/>
      <c r="ED985" s="25"/>
      <c r="EE985" s="25"/>
      <c r="EF985" s="25"/>
      <c r="EG985" s="25"/>
      <c r="EH985" s="25"/>
      <c r="EI985" s="25"/>
      <c r="EJ985" s="25"/>
      <c r="EK985" s="25"/>
      <c r="EL985" s="25"/>
      <c r="EM985" s="25"/>
      <c r="EN985" s="25"/>
      <c r="EO985" s="25"/>
      <c r="EP985" s="25"/>
      <c r="EQ985" s="25"/>
      <c r="ER985" s="25"/>
      <c r="ES985" s="25"/>
      <c r="ET985" s="25"/>
      <c r="EU985" s="25"/>
      <c r="EV985" s="25"/>
      <c r="EW985" s="25"/>
      <c r="EX985" s="25"/>
      <c r="EY985" s="25"/>
      <c r="EZ985" s="25"/>
      <c r="FA985" s="25"/>
      <c r="FB985" s="25"/>
      <c r="FC985" s="25"/>
      <c r="FD985" s="25"/>
      <c r="FE985" s="25"/>
      <c r="FF985" s="25"/>
      <c r="FG985" s="25"/>
      <c r="FH985" s="25"/>
      <c r="FI985" s="25"/>
      <c r="FJ985" s="25"/>
      <c r="FK985" s="25"/>
      <c r="FL985" s="25"/>
      <c r="FM985" s="25"/>
      <c r="FN985" s="25"/>
      <c r="FO985" s="25"/>
      <c r="FP985" s="25"/>
      <c r="FQ985" s="25"/>
      <c r="FR985" s="25"/>
      <c r="FS985" s="25"/>
      <c r="FT985" s="25"/>
      <c r="FU985" s="25"/>
      <c r="FV985" s="28"/>
      <c r="FW985" s="27"/>
      <c r="FX985" s="27"/>
      <c r="FY985" s="25"/>
      <c r="FZ985" s="25"/>
      <c r="GA985" s="25"/>
      <c r="GB985" s="25"/>
      <c r="GC985" s="25"/>
      <c r="GD985" s="25"/>
      <c r="GE985" s="25"/>
      <c r="GF985" s="25"/>
      <c r="GG985" s="25"/>
      <c r="GH985" s="25"/>
      <c r="GI985" s="25"/>
      <c r="GJ985" s="25"/>
      <c r="GK985" s="25"/>
      <c r="GL985" s="25"/>
      <c r="GM985" s="25"/>
      <c r="GN985" s="25"/>
      <c r="GO985" s="25"/>
      <c r="GP985" s="25"/>
      <c r="GQ985" s="25"/>
      <c r="GR985" s="25"/>
      <c r="GS985" s="25"/>
      <c r="GT985" s="25"/>
      <c r="GU985" s="25"/>
      <c r="GV985" s="25"/>
      <c r="GW985" s="25"/>
      <c r="GX985" s="25"/>
      <c r="GY985" s="25"/>
      <c r="GZ985" s="25"/>
      <c r="HA985" s="25"/>
      <c r="HB985" s="25"/>
      <c r="HC985" s="25"/>
      <c r="HD985" s="25"/>
      <c r="HE985" s="25"/>
      <c r="HF985" s="25"/>
      <c r="HG985" s="25"/>
      <c r="HH985" s="25"/>
      <c r="HI985" s="25"/>
      <c r="HJ985" s="25"/>
      <c r="HK985" s="25"/>
      <c r="HL985" s="25"/>
    </row>
    <row r="986" spans="1:220" ht="15.75" customHeight="1" x14ac:dyDescent="0.2">
      <c r="A986" s="25"/>
      <c r="B986" s="29"/>
      <c r="C986" s="26"/>
      <c r="D986" s="29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  <c r="CI986" s="25"/>
      <c r="CJ986" s="25"/>
      <c r="CK986" s="25"/>
      <c r="CL986" s="25"/>
      <c r="CM986" s="25"/>
      <c r="CN986" s="25"/>
      <c r="CO986" s="25"/>
      <c r="CP986" s="25"/>
      <c r="CQ986" s="25"/>
      <c r="CR986" s="25"/>
      <c r="CS986" s="25"/>
      <c r="CT986" s="25"/>
      <c r="CU986" s="25"/>
      <c r="CV986" s="25"/>
      <c r="CW986" s="25"/>
      <c r="CX986" s="25"/>
      <c r="CY986" s="25"/>
      <c r="CZ986" s="25"/>
      <c r="DA986" s="25"/>
      <c r="DB986" s="25"/>
      <c r="DC986" s="25"/>
      <c r="DD986" s="25"/>
      <c r="DE986" s="25"/>
      <c r="DF986" s="25"/>
      <c r="DG986" s="25"/>
      <c r="DH986" s="25"/>
      <c r="DI986" s="25"/>
      <c r="DJ986" s="25"/>
      <c r="DK986" s="25"/>
      <c r="DL986" s="25"/>
      <c r="DM986" s="25"/>
      <c r="DN986" s="25"/>
      <c r="DO986" s="25"/>
      <c r="DP986" s="25"/>
      <c r="DQ986" s="25"/>
      <c r="DR986" s="25"/>
      <c r="DS986" s="25"/>
      <c r="DT986" s="25"/>
      <c r="DU986" s="25"/>
      <c r="DV986" s="25"/>
      <c r="DW986" s="25"/>
      <c r="DX986" s="25"/>
      <c r="DY986" s="25"/>
      <c r="DZ986" s="25"/>
      <c r="EA986" s="25"/>
      <c r="EB986" s="25"/>
      <c r="EC986" s="25"/>
      <c r="ED986" s="25"/>
      <c r="EE986" s="25"/>
      <c r="EF986" s="25"/>
      <c r="EG986" s="25"/>
      <c r="EH986" s="25"/>
      <c r="EI986" s="25"/>
      <c r="EJ986" s="25"/>
      <c r="EK986" s="25"/>
      <c r="EL986" s="25"/>
      <c r="EM986" s="25"/>
      <c r="EN986" s="25"/>
      <c r="EO986" s="25"/>
      <c r="EP986" s="25"/>
      <c r="EQ986" s="25"/>
      <c r="ER986" s="25"/>
      <c r="ES986" s="25"/>
      <c r="ET986" s="25"/>
      <c r="EU986" s="25"/>
      <c r="EV986" s="25"/>
      <c r="EW986" s="25"/>
      <c r="EX986" s="25"/>
      <c r="EY986" s="25"/>
      <c r="EZ986" s="25"/>
      <c r="FA986" s="25"/>
      <c r="FB986" s="25"/>
      <c r="FC986" s="25"/>
      <c r="FD986" s="25"/>
      <c r="FE986" s="25"/>
      <c r="FF986" s="25"/>
      <c r="FG986" s="25"/>
      <c r="FH986" s="25"/>
      <c r="FI986" s="25"/>
      <c r="FJ986" s="25"/>
      <c r="FK986" s="25"/>
      <c r="FL986" s="25"/>
      <c r="FM986" s="25"/>
      <c r="FN986" s="25"/>
      <c r="FO986" s="25"/>
      <c r="FP986" s="25"/>
      <c r="FQ986" s="25"/>
      <c r="FR986" s="25"/>
      <c r="FS986" s="25"/>
      <c r="FT986" s="25"/>
      <c r="FU986" s="25"/>
      <c r="FV986" s="28"/>
      <c r="FW986" s="27"/>
      <c r="FX986" s="27"/>
      <c r="FY986" s="25"/>
      <c r="FZ986" s="25"/>
      <c r="GA986" s="25"/>
      <c r="GB986" s="25"/>
      <c r="GC986" s="25"/>
      <c r="GD986" s="25"/>
      <c r="GE986" s="25"/>
      <c r="GF986" s="25"/>
      <c r="GG986" s="25"/>
      <c r="GH986" s="25"/>
      <c r="GI986" s="25"/>
      <c r="GJ986" s="25"/>
      <c r="GK986" s="25"/>
      <c r="GL986" s="25"/>
      <c r="GM986" s="25"/>
      <c r="GN986" s="25"/>
      <c r="GO986" s="25"/>
      <c r="GP986" s="25"/>
      <c r="GQ986" s="25"/>
      <c r="GR986" s="25"/>
      <c r="GS986" s="25"/>
      <c r="GT986" s="25"/>
      <c r="GU986" s="25"/>
      <c r="GV986" s="25"/>
      <c r="GW986" s="25"/>
      <c r="GX986" s="25"/>
      <c r="GY986" s="25"/>
      <c r="GZ986" s="25"/>
      <c r="HA986" s="25"/>
      <c r="HB986" s="25"/>
      <c r="HC986" s="25"/>
      <c r="HD986" s="25"/>
      <c r="HE986" s="25"/>
      <c r="HF986" s="25"/>
      <c r="HG986" s="25"/>
      <c r="HH986" s="25"/>
      <c r="HI986" s="25"/>
      <c r="HJ986" s="25"/>
      <c r="HK986" s="25"/>
      <c r="HL986" s="25"/>
    </row>
    <row r="987" spans="1:220" ht="15.75" customHeight="1" x14ac:dyDescent="0.2">
      <c r="A987" s="25"/>
      <c r="B987" s="29"/>
      <c r="C987" s="26"/>
      <c r="D987" s="29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  <c r="CI987" s="25"/>
      <c r="CJ987" s="25"/>
      <c r="CK987" s="25"/>
      <c r="CL987" s="25"/>
      <c r="CM987" s="25"/>
      <c r="CN987" s="25"/>
      <c r="CO987" s="25"/>
      <c r="CP987" s="25"/>
      <c r="CQ987" s="25"/>
      <c r="CR987" s="25"/>
      <c r="CS987" s="25"/>
      <c r="CT987" s="25"/>
      <c r="CU987" s="25"/>
      <c r="CV987" s="25"/>
      <c r="CW987" s="25"/>
      <c r="CX987" s="25"/>
      <c r="CY987" s="25"/>
      <c r="CZ987" s="25"/>
      <c r="DA987" s="25"/>
      <c r="DB987" s="25"/>
      <c r="DC987" s="25"/>
      <c r="DD987" s="25"/>
      <c r="DE987" s="25"/>
      <c r="DF987" s="25"/>
      <c r="DG987" s="25"/>
      <c r="DH987" s="25"/>
      <c r="DI987" s="25"/>
      <c r="DJ987" s="25"/>
      <c r="DK987" s="25"/>
      <c r="DL987" s="25"/>
      <c r="DM987" s="25"/>
      <c r="DN987" s="25"/>
      <c r="DO987" s="25"/>
      <c r="DP987" s="25"/>
      <c r="DQ987" s="25"/>
      <c r="DR987" s="25"/>
      <c r="DS987" s="25"/>
      <c r="DT987" s="25"/>
      <c r="DU987" s="25"/>
      <c r="DV987" s="25"/>
      <c r="DW987" s="25"/>
      <c r="DX987" s="25"/>
      <c r="DY987" s="25"/>
      <c r="DZ987" s="25"/>
      <c r="EA987" s="25"/>
      <c r="EB987" s="25"/>
      <c r="EC987" s="25"/>
      <c r="ED987" s="25"/>
      <c r="EE987" s="25"/>
      <c r="EF987" s="25"/>
      <c r="EG987" s="25"/>
      <c r="EH987" s="25"/>
      <c r="EI987" s="25"/>
      <c r="EJ987" s="25"/>
      <c r="EK987" s="25"/>
      <c r="EL987" s="25"/>
      <c r="EM987" s="25"/>
      <c r="EN987" s="25"/>
      <c r="EO987" s="25"/>
      <c r="EP987" s="25"/>
      <c r="EQ987" s="25"/>
      <c r="ER987" s="25"/>
      <c r="ES987" s="25"/>
      <c r="ET987" s="25"/>
      <c r="EU987" s="25"/>
      <c r="EV987" s="25"/>
      <c r="EW987" s="25"/>
      <c r="EX987" s="25"/>
      <c r="EY987" s="25"/>
      <c r="EZ987" s="25"/>
      <c r="FA987" s="25"/>
      <c r="FB987" s="25"/>
      <c r="FC987" s="25"/>
      <c r="FD987" s="25"/>
      <c r="FE987" s="25"/>
      <c r="FF987" s="25"/>
      <c r="FG987" s="25"/>
      <c r="FH987" s="25"/>
      <c r="FI987" s="25"/>
      <c r="FJ987" s="25"/>
      <c r="FK987" s="25"/>
      <c r="FL987" s="25"/>
      <c r="FM987" s="25"/>
      <c r="FN987" s="25"/>
      <c r="FO987" s="25"/>
      <c r="FP987" s="25"/>
      <c r="FQ987" s="25"/>
      <c r="FR987" s="25"/>
      <c r="FS987" s="25"/>
      <c r="FT987" s="25"/>
      <c r="FU987" s="25"/>
      <c r="FV987" s="28"/>
      <c r="FW987" s="27"/>
      <c r="FX987" s="27"/>
      <c r="FY987" s="25"/>
      <c r="FZ987" s="25"/>
      <c r="GA987" s="25"/>
      <c r="GB987" s="25"/>
      <c r="GC987" s="25"/>
      <c r="GD987" s="25"/>
      <c r="GE987" s="25"/>
      <c r="GF987" s="25"/>
      <c r="GG987" s="25"/>
      <c r="GH987" s="25"/>
      <c r="GI987" s="25"/>
      <c r="GJ987" s="25"/>
      <c r="GK987" s="25"/>
      <c r="GL987" s="25"/>
      <c r="GM987" s="25"/>
      <c r="GN987" s="25"/>
      <c r="GO987" s="25"/>
      <c r="GP987" s="25"/>
      <c r="GQ987" s="25"/>
      <c r="GR987" s="25"/>
      <c r="GS987" s="25"/>
      <c r="GT987" s="25"/>
      <c r="GU987" s="25"/>
      <c r="GV987" s="25"/>
      <c r="GW987" s="25"/>
      <c r="GX987" s="25"/>
      <c r="GY987" s="25"/>
      <c r="GZ987" s="25"/>
      <c r="HA987" s="25"/>
      <c r="HB987" s="25"/>
      <c r="HC987" s="25"/>
      <c r="HD987" s="25"/>
      <c r="HE987" s="25"/>
      <c r="HF987" s="25"/>
      <c r="HG987" s="25"/>
      <c r="HH987" s="25"/>
      <c r="HI987" s="25"/>
      <c r="HJ987" s="25"/>
      <c r="HK987" s="25"/>
      <c r="HL987" s="25"/>
    </row>
    <row r="988" spans="1:220" ht="15.75" customHeight="1" x14ac:dyDescent="0.2">
      <c r="A988" s="25"/>
      <c r="B988" s="29"/>
      <c r="C988" s="26"/>
      <c r="D988" s="29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  <c r="CM988" s="25"/>
      <c r="CN988" s="25"/>
      <c r="CO988" s="25"/>
      <c r="CP988" s="25"/>
      <c r="CQ988" s="25"/>
      <c r="CR988" s="25"/>
      <c r="CS988" s="25"/>
      <c r="CT988" s="25"/>
      <c r="CU988" s="25"/>
      <c r="CV988" s="25"/>
      <c r="CW988" s="25"/>
      <c r="CX988" s="25"/>
      <c r="CY988" s="25"/>
      <c r="CZ988" s="25"/>
      <c r="DA988" s="25"/>
      <c r="DB988" s="25"/>
      <c r="DC988" s="25"/>
      <c r="DD988" s="25"/>
      <c r="DE988" s="25"/>
      <c r="DF988" s="25"/>
      <c r="DG988" s="25"/>
      <c r="DH988" s="25"/>
      <c r="DI988" s="25"/>
      <c r="DJ988" s="25"/>
      <c r="DK988" s="25"/>
      <c r="DL988" s="25"/>
      <c r="DM988" s="25"/>
      <c r="DN988" s="25"/>
      <c r="DO988" s="25"/>
      <c r="DP988" s="25"/>
      <c r="DQ988" s="25"/>
      <c r="DR988" s="25"/>
      <c r="DS988" s="25"/>
      <c r="DT988" s="25"/>
      <c r="DU988" s="25"/>
      <c r="DV988" s="25"/>
      <c r="DW988" s="25"/>
      <c r="DX988" s="25"/>
      <c r="DY988" s="25"/>
      <c r="DZ988" s="25"/>
      <c r="EA988" s="25"/>
      <c r="EB988" s="25"/>
      <c r="EC988" s="25"/>
      <c r="ED988" s="25"/>
      <c r="EE988" s="25"/>
      <c r="EF988" s="25"/>
      <c r="EG988" s="25"/>
      <c r="EH988" s="25"/>
      <c r="EI988" s="25"/>
      <c r="EJ988" s="25"/>
      <c r="EK988" s="25"/>
      <c r="EL988" s="25"/>
      <c r="EM988" s="25"/>
      <c r="EN988" s="25"/>
      <c r="EO988" s="25"/>
      <c r="EP988" s="25"/>
      <c r="EQ988" s="25"/>
      <c r="ER988" s="25"/>
      <c r="ES988" s="25"/>
      <c r="ET988" s="25"/>
      <c r="EU988" s="25"/>
      <c r="EV988" s="25"/>
      <c r="EW988" s="25"/>
      <c r="EX988" s="25"/>
      <c r="EY988" s="25"/>
      <c r="EZ988" s="25"/>
      <c r="FA988" s="25"/>
      <c r="FB988" s="25"/>
      <c r="FC988" s="25"/>
      <c r="FD988" s="25"/>
      <c r="FE988" s="25"/>
      <c r="FF988" s="25"/>
      <c r="FG988" s="25"/>
      <c r="FH988" s="25"/>
      <c r="FI988" s="25"/>
      <c r="FJ988" s="25"/>
      <c r="FK988" s="25"/>
      <c r="FL988" s="25"/>
      <c r="FM988" s="25"/>
      <c r="FN988" s="25"/>
      <c r="FO988" s="25"/>
      <c r="FP988" s="25"/>
      <c r="FQ988" s="25"/>
      <c r="FR988" s="25"/>
      <c r="FS988" s="25"/>
      <c r="FT988" s="25"/>
      <c r="FU988" s="25"/>
      <c r="FV988" s="28"/>
      <c r="FW988" s="27"/>
      <c r="FX988" s="27"/>
      <c r="FY988" s="25"/>
      <c r="FZ988" s="25"/>
      <c r="GA988" s="25"/>
      <c r="GB988" s="25"/>
      <c r="GC988" s="25"/>
      <c r="GD988" s="25"/>
      <c r="GE988" s="25"/>
      <c r="GF988" s="25"/>
      <c r="GG988" s="25"/>
      <c r="GH988" s="25"/>
      <c r="GI988" s="25"/>
      <c r="GJ988" s="25"/>
      <c r="GK988" s="25"/>
      <c r="GL988" s="25"/>
      <c r="GM988" s="25"/>
      <c r="GN988" s="25"/>
      <c r="GO988" s="25"/>
      <c r="GP988" s="25"/>
      <c r="GQ988" s="25"/>
      <c r="GR988" s="25"/>
      <c r="GS988" s="25"/>
      <c r="GT988" s="25"/>
      <c r="GU988" s="25"/>
      <c r="GV988" s="25"/>
      <c r="GW988" s="25"/>
      <c r="GX988" s="25"/>
      <c r="GY988" s="25"/>
      <c r="GZ988" s="25"/>
      <c r="HA988" s="25"/>
      <c r="HB988" s="25"/>
      <c r="HC988" s="25"/>
      <c r="HD988" s="25"/>
      <c r="HE988" s="25"/>
      <c r="HF988" s="25"/>
      <c r="HG988" s="25"/>
      <c r="HH988" s="25"/>
      <c r="HI988" s="25"/>
      <c r="HJ988" s="25"/>
      <c r="HK988" s="25"/>
      <c r="HL988" s="25"/>
    </row>
    <row r="989" spans="1:220" ht="15.75" customHeight="1" x14ac:dyDescent="0.2">
      <c r="A989" s="25"/>
      <c r="B989" s="29"/>
      <c r="C989" s="26"/>
      <c r="D989" s="29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  <c r="CI989" s="25"/>
      <c r="CJ989" s="25"/>
      <c r="CK989" s="25"/>
      <c r="CL989" s="25"/>
      <c r="CM989" s="25"/>
      <c r="CN989" s="25"/>
      <c r="CO989" s="25"/>
      <c r="CP989" s="25"/>
      <c r="CQ989" s="25"/>
      <c r="CR989" s="25"/>
      <c r="CS989" s="25"/>
      <c r="CT989" s="25"/>
      <c r="CU989" s="25"/>
      <c r="CV989" s="25"/>
      <c r="CW989" s="25"/>
      <c r="CX989" s="25"/>
      <c r="CY989" s="25"/>
      <c r="CZ989" s="25"/>
      <c r="DA989" s="25"/>
      <c r="DB989" s="25"/>
      <c r="DC989" s="25"/>
      <c r="DD989" s="25"/>
      <c r="DE989" s="25"/>
      <c r="DF989" s="25"/>
      <c r="DG989" s="25"/>
      <c r="DH989" s="25"/>
      <c r="DI989" s="25"/>
      <c r="DJ989" s="25"/>
      <c r="DK989" s="25"/>
      <c r="DL989" s="25"/>
      <c r="DM989" s="25"/>
      <c r="DN989" s="25"/>
      <c r="DO989" s="25"/>
      <c r="DP989" s="25"/>
      <c r="DQ989" s="25"/>
      <c r="DR989" s="25"/>
      <c r="DS989" s="25"/>
      <c r="DT989" s="25"/>
      <c r="DU989" s="25"/>
      <c r="DV989" s="25"/>
      <c r="DW989" s="25"/>
      <c r="DX989" s="25"/>
      <c r="DY989" s="25"/>
      <c r="DZ989" s="25"/>
      <c r="EA989" s="25"/>
      <c r="EB989" s="25"/>
      <c r="EC989" s="25"/>
      <c r="ED989" s="25"/>
      <c r="EE989" s="25"/>
      <c r="EF989" s="25"/>
      <c r="EG989" s="25"/>
      <c r="EH989" s="25"/>
      <c r="EI989" s="25"/>
      <c r="EJ989" s="25"/>
      <c r="EK989" s="25"/>
      <c r="EL989" s="25"/>
      <c r="EM989" s="25"/>
      <c r="EN989" s="25"/>
      <c r="EO989" s="25"/>
      <c r="EP989" s="25"/>
      <c r="EQ989" s="25"/>
      <c r="ER989" s="25"/>
      <c r="ES989" s="25"/>
      <c r="ET989" s="25"/>
      <c r="EU989" s="25"/>
      <c r="EV989" s="25"/>
      <c r="EW989" s="25"/>
      <c r="EX989" s="25"/>
      <c r="EY989" s="25"/>
      <c r="EZ989" s="25"/>
      <c r="FA989" s="25"/>
      <c r="FB989" s="25"/>
      <c r="FC989" s="25"/>
      <c r="FD989" s="25"/>
      <c r="FE989" s="25"/>
      <c r="FF989" s="25"/>
      <c r="FG989" s="25"/>
      <c r="FH989" s="25"/>
      <c r="FI989" s="25"/>
      <c r="FJ989" s="25"/>
      <c r="FK989" s="25"/>
      <c r="FL989" s="25"/>
      <c r="FM989" s="25"/>
      <c r="FN989" s="25"/>
      <c r="FO989" s="25"/>
      <c r="FP989" s="25"/>
      <c r="FQ989" s="25"/>
      <c r="FR989" s="25"/>
      <c r="FS989" s="25"/>
      <c r="FT989" s="25"/>
      <c r="FU989" s="25"/>
      <c r="FV989" s="28"/>
      <c r="FW989" s="27"/>
      <c r="FX989" s="27"/>
      <c r="FY989" s="25"/>
      <c r="FZ989" s="25"/>
      <c r="GA989" s="25"/>
      <c r="GB989" s="25"/>
      <c r="GC989" s="25"/>
      <c r="GD989" s="25"/>
      <c r="GE989" s="25"/>
      <c r="GF989" s="25"/>
      <c r="GG989" s="25"/>
      <c r="GH989" s="25"/>
      <c r="GI989" s="25"/>
      <c r="GJ989" s="25"/>
      <c r="GK989" s="25"/>
      <c r="GL989" s="25"/>
      <c r="GM989" s="25"/>
      <c r="GN989" s="25"/>
      <c r="GO989" s="25"/>
      <c r="GP989" s="25"/>
      <c r="GQ989" s="25"/>
      <c r="GR989" s="25"/>
      <c r="GS989" s="25"/>
      <c r="GT989" s="25"/>
      <c r="GU989" s="25"/>
      <c r="GV989" s="25"/>
      <c r="GW989" s="25"/>
      <c r="GX989" s="25"/>
      <c r="GY989" s="25"/>
      <c r="GZ989" s="25"/>
      <c r="HA989" s="25"/>
      <c r="HB989" s="25"/>
      <c r="HC989" s="25"/>
      <c r="HD989" s="25"/>
      <c r="HE989" s="25"/>
      <c r="HF989" s="25"/>
      <c r="HG989" s="25"/>
      <c r="HH989" s="25"/>
      <c r="HI989" s="25"/>
      <c r="HJ989" s="25"/>
      <c r="HK989" s="25"/>
      <c r="HL989" s="25"/>
    </row>
    <row r="990" spans="1:220" ht="15.75" customHeight="1" x14ac:dyDescent="0.2">
      <c r="A990" s="25"/>
      <c r="B990" s="29"/>
      <c r="C990" s="26"/>
      <c r="D990" s="29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  <c r="CI990" s="25"/>
      <c r="CJ990" s="25"/>
      <c r="CK990" s="25"/>
      <c r="CL990" s="25"/>
      <c r="CM990" s="25"/>
      <c r="CN990" s="25"/>
      <c r="CO990" s="25"/>
      <c r="CP990" s="25"/>
      <c r="CQ990" s="25"/>
      <c r="CR990" s="25"/>
      <c r="CS990" s="25"/>
      <c r="CT990" s="25"/>
      <c r="CU990" s="25"/>
      <c r="CV990" s="25"/>
      <c r="CW990" s="25"/>
      <c r="CX990" s="25"/>
      <c r="CY990" s="25"/>
      <c r="CZ990" s="25"/>
      <c r="DA990" s="25"/>
      <c r="DB990" s="25"/>
      <c r="DC990" s="25"/>
      <c r="DD990" s="25"/>
      <c r="DE990" s="25"/>
      <c r="DF990" s="25"/>
      <c r="DG990" s="25"/>
      <c r="DH990" s="25"/>
      <c r="DI990" s="25"/>
      <c r="DJ990" s="25"/>
      <c r="DK990" s="25"/>
      <c r="DL990" s="25"/>
      <c r="DM990" s="25"/>
      <c r="DN990" s="25"/>
      <c r="DO990" s="25"/>
      <c r="DP990" s="25"/>
      <c r="DQ990" s="25"/>
      <c r="DR990" s="25"/>
      <c r="DS990" s="25"/>
      <c r="DT990" s="25"/>
      <c r="DU990" s="25"/>
      <c r="DV990" s="25"/>
      <c r="DW990" s="25"/>
      <c r="DX990" s="25"/>
      <c r="DY990" s="25"/>
      <c r="DZ990" s="25"/>
      <c r="EA990" s="25"/>
      <c r="EB990" s="25"/>
      <c r="EC990" s="25"/>
      <c r="ED990" s="25"/>
      <c r="EE990" s="25"/>
      <c r="EF990" s="25"/>
      <c r="EG990" s="25"/>
      <c r="EH990" s="25"/>
      <c r="EI990" s="25"/>
      <c r="EJ990" s="25"/>
      <c r="EK990" s="25"/>
      <c r="EL990" s="25"/>
      <c r="EM990" s="25"/>
      <c r="EN990" s="25"/>
      <c r="EO990" s="25"/>
      <c r="EP990" s="25"/>
      <c r="EQ990" s="25"/>
      <c r="ER990" s="25"/>
      <c r="ES990" s="25"/>
      <c r="ET990" s="25"/>
      <c r="EU990" s="25"/>
      <c r="EV990" s="25"/>
      <c r="EW990" s="25"/>
      <c r="EX990" s="25"/>
      <c r="EY990" s="25"/>
      <c r="EZ990" s="25"/>
      <c r="FA990" s="25"/>
      <c r="FB990" s="25"/>
      <c r="FC990" s="25"/>
      <c r="FD990" s="25"/>
      <c r="FE990" s="25"/>
      <c r="FF990" s="25"/>
      <c r="FG990" s="25"/>
      <c r="FH990" s="25"/>
      <c r="FI990" s="25"/>
      <c r="FJ990" s="25"/>
      <c r="FK990" s="25"/>
      <c r="FL990" s="25"/>
      <c r="FM990" s="25"/>
      <c r="FN990" s="25"/>
      <c r="FO990" s="25"/>
      <c r="FP990" s="25"/>
      <c r="FQ990" s="25"/>
      <c r="FR990" s="25"/>
      <c r="FS990" s="25"/>
      <c r="FT990" s="25"/>
      <c r="FU990" s="25"/>
      <c r="FV990" s="28"/>
      <c r="FW990" s="27"/>
      <c r="FX990" s="27"/>
      <c r="FY990" s="25"/>
      <c r="FZ990" s="25"/>
      <c r="GA990" s="25"/>
      <c r="GB990" s="25"/>
      <c r="GC990" s="25"/>
      <c r="GD990" s="25"/>
      <c r="GE990" s="25"/>
      <c r="GF990" s="25"/>
      <c r="GG990" s="25"/>
      <c r="GH990" s="25"/>
      <c r="GI990" s="25"/>
      <c r="GJ990" s="25"/>
      <c r="GK990" s="25"/>
      <c r="GL990" s="25"/>
      <c r="GM990" s="25"/>
      <c r="GN990" s="25"/>
      <c r="GO990" s="25"/>
      <c r="GP990" s="25"/>
      <c r="GQ990" s="25"/>
      <c r="GR990" s="25"/>
      <c r="GS990" s="25"/>
      <c r="GT990" s="25"/>
      <c r="GU990" s="25"/>
      <c r="GV990" s="25"/>
      <c r="GW990" s="25"/>
      <c r="GX990" s="25"/>
      <c r="GY990" s="25"/>
      <c r="GZ990" s="25"/>
      <c r="HA990" s="25"/>
      <c r="HB990" s="25"/>
      <c r="HC990" s="25"/>
      <c r="HD990" s="25"/>
      <c r="HE990" s="25"/>
      <c r="HF990" s="25"/>
      <c r="HG990" s="25"/>
      <c r="HH990" s="25"/>
      <c r="HI990" s="25"/>
      <c r="HJ990" s="25"/>
      <c r="HK990" s="25"/>
      <c r="HL990" s="25"/>
    </row>
    <row r="991" spans="1:220" ht="15.75" customHeight="1" x14ac:dyDescent="0.2">
      <c r="A991" s="25"/>
      <c r="B991" s="29"/>
      <c r="C991" s="26"/>
      <c r="D991" s="29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  <c r="CI991" s="25"/>
      <c r="CJ991" s="25"/>
      <c r="CK991" s="25"/>
      <c r="CL991" s="25"/>
      <c r="CM991" s="25"/>
      <c r="CN991" s="25"/>
      <c r="CO991" s="25"/>
      <c r="CP991" s="25"/>
      <c r="CQ991" s="25"/>
      <c r="CR991" s="25"/>
      <c r="CS991" s="25"/>
      <c r="CT991" s="25"/>
      <c r="CU991" s="25"/>
      <c r="CV991" s="25"/>
      <c r="CW991" s="25"/>
      <c r="CX991" s="25"/>
      <c r="CY991" s="25"/>
      <c r="CZ991" s="25"/>
      <c r="DA991" s="25"/>
      <c r="DB991" s="25"/>
      <c r="DC991" s="25"/>
      <c r="DD991" s="25"/>
      <c r="DE991" s="25"/>
      <c r="DF991" s="25"/>
      <c r="DG991" s="25"/>
      <c r="DH991" s="25"/>
      <c r="DI991" s="25"/>
      <c r="DJ991" s="25"/>
      <c r="DK991" s="25"/>
      <c r="DL991" s="25"/>
      <c r="DM991" s="25"/>
      <c r="DN991" s="25"/>
      <c r="DO991" s="25"/>
      <c r="DP991" s="25"/>
      <c r="DQ991" s="25"/>
      <c r="DR991" s="25"/>
      <c r="DS991" s="25"/>
      <c r="DT991" s="25"/>
      <c r="DU991" s="25"/>
      <c r="DV991" s="25"/>
      <c r="DW991" s="25"/>
      <c r="DX991" s="25"/>
      <c r="DY991" s="25"/>
      <c r="DZ991" s="25"/>
      <c r="EA991" s="25"/>
      <c r="EB991" s="25"/>
      <c r="EC991" s="25"/>
      <c r="ED991" s="25"/>
      <c r="EE991" s="25"/>
      <c r="EF991" s="25"/>
      <c r="EG991" s="25"/>
      <c r="EH991" s="25"/>
      <c r="EI991" s="25"/>
      <c r="EJ991" s="25"/>
      <c r="EK991" s="25"/>
      <c r="EL991" s="25"/>
      <c r="EM991" s="25"/>
      <c r="EN991" s="25"/>
      <c r="EO991" s="25"/>
      <c r="EP991" s="25"/>
      <c r="EQ991" s="25"/>
      <c r="ER991" s="25"/>
      <c r="ES991" s="25"/>
      <c r="ET991" s="25"/>
      <c r="EU991" s="25"/>
      <c r="EV991" s="25"/>
      <c r="EW991" s="25"/>
      <c r="EX991" s="25"/>
      <c r="EY991" s="25"/>
      <c r="EZ991" s="25"/>
      <c r="FA991" s="25"/>
      <c r="FB991" s="25"/>
      <c r="FC991" s="25"/>
      <c r="FD991" s="25"/>
      <c r="FE991" s="25"/>
      <c r="FF991" s="25"/>
      <c r="FG991" s="25"/>
      <c r="FH991" s="25"/>
      <c r="FI991" s="25"/>
      <c r="FJ991" s="25"/>
      <c r="FK991" s="25"/>
      <c r="FL991" s="25"/>
      <c r="FM991" s="25"/>
      <c r="FN991" s="25"/>
      <c r="FO991" s="25"/>
      <c r="FP991" s="25"/>
      <c r="FQ991" s="25"/>
      <c r="FR991" s="25"/>
      <c r="FS991" s="25"/>
      <c r="FT991" s="25"/>
      <c r="FU991" s="25"/>
      <c r="FV991" s="28"/>
      <c r="FW991" s="27"/>
      <c r="FX991" s="27"/>
      <c r="FY991" s="25"/>
      <c r="FZ991" s="25"/>
      <c r="GA991" s="25"/>
      <c r="GB991" s="25"/>
      <c r="GC991" s="25"/>
      <c r="GD991" s="25"/>
      <c r="GE991" s="25"/>
      <c r="GF991" s="25"/>
      <c r="GG991" s="25"/>
      <c r="GH991" s="25"/>
      <c r="GI991" s="25"/>
      <c r="GJ991" s="25"/>
      <c r="GK991" s="25"/>
      <c r="GL991" s="25"/>
      <c r="GM991" s="25"/>
      <c r="GN991" s="25"/>
      <c r="GO991" s="25"/>
      <c r="GP991" s="25"/>
      <c r="GQ991" s="25"/>
      <c r="GR991" s="25"/>
      <c r="GS991" s="25"/>
      <c r="GT991" s="25"/>
      <c r="GU991" s="25"/>
      <c r="GV991" s="25"/>
      <c r="GW991" s="25"/>
      <c r="GX991" s="25"/>
      <c r="GY991" s="25"/>
      <c r="GZ991" s="25"/>
      <c r="HA991" s="25"/>
      <c r="HB991" s="25"/>
      <c r="HC991" s="25"/>
      <c r="HD991" s="25"/>
      <c r="HE991" s="25"/>
      <c r="HF991" s="25"/>
      <c r="HG991" s="25"/>
      <c r="HH991" s="25"/>
      <c r="HI991" s="25"/>
      <c r="HJ991" s="25"/>
      <c r="HK991" s="25"/>
      <c r="HL991" s="25"/>
    </row>
    <row r="992" spans="1:220" ht="15.75" customHeight="1" x14ac:dyDescent="0.2">
      <c r="A992" s="25"/>
      <c r="B992" s="29"/>
      <c r="C992" s="26"/>
      <c r="D992" s="29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  <c r="CI992" s="25"/>
      <c r="CJ992" s="25"/>
      <c r="CK992" s="25"/>
      <c r="CL992" s="25"/>
      <c r="CM992" s="25"/>
      <c r="CN992" s="25"/>
      <c r="CO992" s="25"/>
      <c r="CP992" s="25"/>
      <c r="CQ992" s="25"/>
      <c r="CR992" s="25"/>
      <c r="CS992" s="25"/>
      <c r="CT992" s="25"/>
      <c r="CU992" s="25"/>
      <c r="CV992" s="25"/>
      <c r="CW992" s="25"/>
      <c r="CX992" s="25"/>
      <c r="CY992" s="25"/>
      <c r="CZ992" s="25"/>
      <c r="DA992" s="25"/>
      <c r="DB992" s="25"/>
      <c r="DC992" s="25"/>
      <c r="DD992" s="25"/>
      <c r="DE992" s="25"/>
      <c r="DF992" s="25"/>
      <c r="DG992" s="25"/>
      <c r="DH992" s="25"/>
      <c r="DI992" s="25"/>
      <c r="DJ992" s="25"/>
      <c r="DK992" s="25"/>
      <c r="DL992" s="25"/>
      <c r="DM992" s="25"/>
      <c r="DN992" s="25"/>
      <c r="DO992" s="25"/>
      <c r="DP992" s="25"/>
      <c r="DQ992" s="25"/>
      <c r="DR992" s="25"/>
      <c r="DS992" s="25"/>
      <c r="DT992" s="25"/>
      <c r="DU992" s="25"/>
      <c r="DV992" s="25"/>
      <c r="DW992" s="25"/>
      <c r="DX992" s="25"/>
      <c r="DY992" s="25"/>
      <c r="DZ992" s="25"/>
      <c r="EA992" s="25"/>
      <c r="EB992" s="25"/>
      <c r="EC992" s="25"/>
      <c r="ED992" s="25"/>
      <c r="EE992" s="25"/>
      <c r="EF992" s="25"/>
      <c r="EG992" s="25"/>
      <c r="EH992" s="25"/>
      <c r="EI992" s="25"/>
      <c r="EJ992" s="25"/>
      <c r="EK992" s="25"/>
      <c r="EL992" s="25"/>
      <c r="EM992" s="25"/>
      <c r="EN992" s="25"/>
      <c r="EO992" s="25"/>
      <c r="EP992" s="25"/>
      <c r="EQ992" s="25"/>
      <c r="ER992" s="25"/>
      <c r="ES992" s="25"/>
      <c r="ET992" s="25"/>
      <c r="EU992" s="25"/>
      <c r="EV992" s="25"/>
      <c r="EW992" s="25"/>
      <c r="EX992" s="25"/>
      <c r="EY992" s="25"/>
      <c r="EZ992" s="25"/>
      <c r="FA992" s="25"/>
      <c r="FB992" s="25"/>
      <c r="FC992" s="25"/>
      <c r="FD992" s="25"/>
      <c r="FE992" s="25"/>
      <c r="FF992" s="25"/>
      <c r="FG992" s="25"/>
      <c r="FH992" s="25"/>
      <c r="FI992" s="25"/>
      <c r="FJ992" s="25"/>
      <c r="FK992" s="25"/>
      <c r="FL992" s="25"/>
      <c r="FM992" s="25"/>
      <c r="FN992" s="25"/>
      <c r="FO992" s="25"/>
      <c r="FP992" s="25"/>
      <c r="FQ992" s="25"/>
      <c r="FR992" s="25"/>
      <c r="FS992" s="25"/>
      <c r="FT992" s="25"/>
      <c r="FU992" s="25"/>
      <c r="FV992" s="28"/>
      <c r="FW992" s="27"/>
      <c r="FX992" s="27"/>
      <c r="FY992" s="25"/>
      <c r="FZ992" s="25"/>
      <c r="GA992" s="25"/>
      <c r="GB992" s="25"/>
      <c r="GC992" s="25"/>
      <c r="GD992" s="25"/>
      <c r="GE992" s="25"/>
      <c r="GF992" s="25"/>
      <c r="GG992" s="25"/>
      <c r="GH992" s="25"/>
      <c r="GI992" s="25"/>
      <c r="GJ992" s="25"/>
      <c r="GK992" s="25"/>
      <c r="GL992" s="25"/>
      <c r="GM992" s="25"/>
      <c r="GN992" s="25"/>
      <c r="GO992" s="25"/>
      <c r="GP992" s="25"/>
      <c r="GQ992" s="25"/>
      <c r="GR992" s="25"/>
      <c r="GS992" s="25"/>
      <c r="GT992" s="25"/>
      <c r="GU992" s="25"/>
      <c r="GV992" s="25"/>
      <c r="GW992" s="25"/>
      <c r="GX992" s="25"/>
      <c r="GY992" s="25"/>
      <c r="GZ992" s="25"/>
      <c r="HA992" s="25"/>
      <c r="HB992" s="25"/>
      <c r="HC992" s="25"/>
      <c r="HD992" s="25"/>
      <c r="HE992" s="25"/>
      <c r="HF992" s="25"/>
      <c r="HG992" s="25"/>
      <c r="HH992" s="25"/>
      <c r="HI992" s="25"/>
      <c r="HJ992" s="25"/>
      <c r="HK992" s="25"/>
      <c r="HL992" s="25"/>
    </row>
    <row r="993" spans="1:220" ht="15.75" customHeight="1" x14ac:dyDescent="0.2">
      <c r="A993" s="25"/>
      <c r="B993" s="29"/>
      <c r="C993" s="26"/>
      <c r="D993" s="29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  <c r="CI993" s="25"/>
      <c r="CJ993" s="25"/>
      <c r="CK993" s="25"/>
      <c r="CL993" s="25"/>
      <c r="CM993" s="25"/>
      <c r="CN993" s="25"/>
      <c r="CO993" s="25"/>
      <c r="CP993" s="25"/>
      <c r="CQ993" s="25"/>
      <c r="CR993" s="25"/>
      <c r="CS993" s="25"/>
      <c r="CT993" s="25"/>
      <c r="CU993" s="25"/>
      <c r="CV993" s="25"/>
      <c r="CW993" s="25"/>
      <c r="CX993" s="25"/>
      <c r="CY993" s="25"/>
      <c r="CZ993" s="25"/>
      <c r="DA993" s="25"/>
      <c r="DB993" s="25"/>
      <c r="DC993" s="25"/>
      <c r="DD993" s="25"/>
      <c r="DE993" s="25"/>
      <c r="DF993" s="25"/>
      <c r="DG993" s="25"/>
      <c r="DH993" s="25"/>
      <c r="DI993" s="25"/>
      <c r="DJ993" s="25"/>
      <c r="DK993" s="25"/>
      <c r="DL993" s="25"/>
      <c r="DM993" s="25"/>
      <c r="DN993" s="25"/>
      <c r="DO993" s="25"/>
      <c r="DP993" s="25"/>
      <c r="DQ993" s="25"/>
      <c r="DR993" s="25"/>
      <c r="DS993" s="25"/>
      <c r="DT993" s="25"/>
      <c r="DU993" s="25"/>
      <c r="DV993" s="25"/>
      <c r="DW993" s="25"/>
      <c r="DX993" s="25"/>
      <c r="DY993" s="25"/>
      <c r="DZ993" s="25"/>
      <c r="EA993" s="25"/>
      <c r="EB993" s="25"/>
      <c r="EC993" s="25"/>
      <c r="ED993" s="25"/>
      <c r="EE993" s="25"/>
      <c r="EF993" s="25"/>
      <c r="EG993" s="25"/>
      <c r="EH993" s="25"/>
      <c r="EI993" s="25"/>
      <c r="EJ993" s="25"/>
      <c r="EK993" s="25"/>
      <c r="EL993" s="25"/>
      <c r="EM993" s="25"/>
      <c r="EN993" s="25"/>
      <c r="EO993" s="25"/>
      <c r="EP993" s="25"/>
      <c r="EQ993" s="25"/>
      <c r="ER993" s="25"/>
      <c r="ES993" s="25"/>
      <c r="ET993" s="25"/>
      <c r="EU993" s="25"/>
      <c r="EV993" s="25"/>
      <c r="EW993" s="25"/>
      <c r="EX993" s="25"/>
      <c r="EY993" s="25"/>
      <c r="EZ993" s="25"/>
      <c r="FA993" s="25"/>
      <c r="FB993" s="25"/>
      <c r="FC993" s="25"/>
      <c r="FD993" s="25"/>
      <c r="FE993" s="25"/>
      <c r="FF993" s="25"/>
      <c r="FG993" s="25"/>
      <c r="FH993" s="25"/>
      <c r="FI993" s="25"/>
      <c r="FJ993" s="25"/>
      <c r="FK993" s="25"/>
      <c r="FL993" s="25"/>
      <c r="FM993" s="25"/>
      <c r="FN993" s="25"/>
      <c r="FO993" s="25"/>
      <c r="FP993" s="25"/>
      <c r="FQ993" s="25"/>
      <c r="FR993" s="25"/>
      <c r="FS993" s="25"/>
      <c r="FT993" s="25"/>
      <c r="FU993" s="25"/>
      <c r="FV993" s="28"/>
      <c r="FW993" s="27"/>
      <c r="FX993" s="27"/>
      <c r="FY993" s="25"/>
      <c r="FZ993" s="25"/>
      <c r="GA993" s="25"/>
      <c r="GB993" s="25"/>
      <c r="GC993" s="25"/>
      <c r="GD993" s="25"/>
      <c r="GE993" s="25"/>
      <c r="GF993" s="25"/>
      <c r="GG993" s="25"/>
      <c r="GH993" s="25"/>
      <c r="GI993" s="25"/>
      <c r="GJ993" s="25"/>
      <c r="GK993" s="25"/>
      <c r="GL993" s="25"/>
      <c r="GM993" s="25"/>
      <c r="GN993" s="25"/>
      <c r="GO993" s="25"/>
      <c r="GP993" s="25"/>
      <c r="GQ993" s="25"/>
      <c r="GR993" s="25"/>
      <c r="GS993" s="25"/>
      <c r="GT993" s="25"/>
      <c r="GU993" s="25"/>
      <c r="GV993" s="25"/>
      <c r="GW993" s="25"/>
      <c r="GX993" s="25"/>
      <c r="GY993" s="25"/>
      <c r="GZ993" s="25"/>
      <c r="HA993" s="25"/>
      <c r="HB993" s="25"/>
      <c r="HC993" s="25"/>
      <c r="HD993" s="25"/>
      <c r="HE993" s="25"/>
      <c r="HF993" s="25"/>
      <c r="HG993" s="25"/>
      <c r="HH993" s="25"/>
      <c r="HI993" s="25"/>
      <c r="HJ993" s="25"/>
      <c r="HK993" s="25"/>
      <c r="HL993" s="25"/>
    </row>
    <row r="994" spans="1:220" ht="15.75" customHeight="1" x14ac:dyDescent="0.2">
      <c r="A994" s="25"/>
      <c r="B994" s="29"/>
      <c r="C994" s="26"/>
      <c r="D994" s="29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  <c r="CI994" s="25"/>
      <c r="CJ994" s="25"/>
      <c r="CK994" s="25"/>
      <c r="CL994" s="25"/>
      <c r="CM994" s="25"/>
      <c r="CN994" s="25"/>
      <c r="CO994" s="25"/>
      <c r="CP994" s="25"/>
      <c r="CQ994" s="25"/>
      <c r="CR994" s="25"/>
      <c r="CS994" s="25"/>
      <c r="CT994" s="25"/>
      <c r="CU994" s="25"/>
      <c r="CV994" s="25"/>
      <c r="CW994" s="25"/>
      <c r="CX994" s="25"/>
      <c r="CY994" s="25"/>
      <c r="CZ994" s="25"/>
      <c r="DA994" s="25"/>
      <c r="DB994" s="25"/>
      <c r="DC994" s="25"/>
      <c r="DD994" s="25"/>
      <c r="DE994" s="25"/>
      <c r="DF994" s="25"/>
      <c r="DG994" s="25"/>
      <c r="DH994" s="25"/>
      <c r="DI994" s="25"/>
      <c r="DJ994" s="25"/>
      <c r="DK994" s="25"/>
      <c r="DL994" s="25"/>
      <c r="DM994" s="25"/>
      <c r="DN994" s="25"/>
      <c r="DO994" s="25"/>
      <c r="DP994" s="25"/>
      <c r="DQ994" s="25"/>
      <c r="DR994" s="25"/>
      <c r="DS994" s="25"/>
      <c r="DT994" s="25"/>
      <c r="DU994" s="25"/>
      <c r="DV994" s="25"/>
      <c r="DW994" s="25"/>
      <c r="DX994" s="25"/>
      <c r="DY994" s="25"/>
      <c r="DZ994" s="25"/>
      <c r="EA994" s="25"/>
      <c r="EB994" s="25"/>
      <c r="EC994" s="25"/>
      <c r="ED994" s="25"/>
      <c r="EE994" s="25"/>
      <c r="EF994" s="25"/>
      <c r="EG994" s="25"/>
      <c r="EH994" s="25"/>
      <c r="EI994" s="25"/>
      <c r="EJ994" s="25"/>
      <c r="EK994" s="25"/>
      <c r="EL994" s="25"/>
      <c r="EM994" s="25"/>
      <c r="EN994" s="25"/>
      <c r="EO994" s="25"/>
      <c r="EP994" s="25"/>
      <c r="EQ994" s="25"/>
      <c r="ER994" s="25"/>
      <c r="ES994" s="25"/>
      <c r="ET994" s="25"/>
      <c r="EU994" s="25"/>
      <c r="EV994" s="25"/>
      <c r="EW994" s="25"/>
      <c r="EX994" s="25"/>
      <c r="EY994" s="25"/>
      <c r="EZ994" s="25"/>
      <c r="FA994" s="25"/>
      <c r="FB994" s="25"/>
      <c r="FC994" s="25"/>
      <c r="FD994" s="25"/>
      <c r="FE994" s="25"/>
      <c r="FF994" s="25"/>
      <c r="FG994" s="25"/>
      <c r="FH994" s="25"/>
      <c r="FI994" s="25"/>
      <c r="FJ994" s="25"/>
      <c r="FK994" s="25"/>
      <c r="FL994" s="25"/>
      <c r="FM994" s="25"/>
      <c r="FN994" s="25"/>
      <c r="FO994" s="25"/>
      <c r="FP994" s="25"/>
      <c r="FQ994" s="25"/>
      <c r="FR994" s="25"/>
      <c r="FS994" s="25"/>
      <c r="FT994" s="25"/>
      <c r="FU994" s="25"/>
      <c r="FV994" s="28"/>
      <c r="FW994" s="27"/>
      <c r="FX994" s="27"/>
      <c r="FY994" s="25"/>
      <c r="FZ994" s="25"/>
      <c r="GA994" s="25"/>
      <c r="GB994" s="25"/>
      <c r="GC994" s="25"/>
      <c r="GD994" s="25"/>
      <c r="GE994" s="25"/>
      <c r="GF994" s="25"/>
      <c r="GG994" s="25"/>
      <c r="GH994" s="25"/>
      <c r="GI994" s="25"/>
      <c r="GJ994" s="25"/>
      <c r="GK994" s="25"/>
      <c r="GL994" s="25"/>
      <c r="GM994" s="25"/>
      <c r="GN994" s="25"/>
      <c r="GO994" s="25"/>
      <c r="GP994" s="25"/>
      <c r="GQ994" s="25"/>
      <c r="GR994" s="25"/>
      <c r="GS994" s="25"/>
      <c r="GT994" s="25"/>
      <c r="GU994" s="25"/>
      <c r="GV994" s="25"/>
      <c r="GW994" s="25"/>
      <c r="GX994" s="25"/>
      <c r="GY994" s="25"/>
      <c r="GZ994" s="25"/>
      <c r="HA994" s="25"/>
      <c r="HB994" s="25"/>
      <c r="HC994" s="25"/>
      <c r="HD994" s="25"/>
      <c r="HE994" s="25"/>
      <c r="HF994" s="25"/>
      <c r="HG994" s="25"/>
      <c r="HH994" s="25"/>
      <c r="HI994" s="25"/>
      <c r="HJ994" s="25"/>
      <c r="HK994" s="25"/>
      <c r="HL994" s="25"/>
    </row>
    <row r="995" spans="1:220" ht="15.75" customHeight="1" x14ac:dyDescent="0.2">
      <c r="A995" s="25"/>
      <c r="B995" s="29"/>
      <c r="C995" s="26"/>
      <c r="D995" s="29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  <c r="CI995" s="25"/>
      <c r="CJ995" s="25"/>
      <c r="CK995" s="25"/>
      <c r="CL995" s="25"/>
      <c r="CM995" s="25"/>
      <c r="CN995" s="25"/>
      <c r="CO995" s="25"/>
      <c r="CP995" s="25"/>
      <c r="CQ995" s="25"/>
      <c r="CR995" s="25"/>
      <c r="CS995" s="25"/>
      <c r="CT995" s="25"/>
      <c r="CU995" s="25"/>
      <c r="CV995" s="25"/>
      <c r="CW995" s="25"/>
      <c r="CX995" s="25"/>
      <c r="CY995" s="25"/>
      <c r="CZ995" s="25"/>
      <c r="DA995" s="25"/>
      <c r="DB995" s="25"/>
      <c r="DC995" s="25"/>
      <c r="DD995" s="25"/>
      <c r="DE995" s="25"/>
      <c r="DF995" s="25"/>
      <c r="DG995" s="25"/>
      <c r="DH995" s="25"/>
      <c r="DI995" s="25"/>
      <c r="DJ995" s="25"/>
      <c r="DK995" s="25"/>
      <c r="DL995" s="25"/>
      <c r="DM995" s="25"/>
      <c r="DN995" s="25"/>
      <c r="DO995" s="25"/>
      <c r="DP995" s="25"/>
      <c r="DQ995" s="25"/>
      <c r="DR995" s="25"/>
      <c r="DS995" s="25"/>
      <c r="DT995" s="25"/>
      <c r="DU995" s="25"/>
      <c r="DV995" s="25"/>
      <c r="DW995" s="25"/>
      <c r="DX995" s="25"/>
      <c r="DY995" s="25"/>
      <c r="DZ995" s="25"/>
      <c r="EA995" s="25"/>
      <c r="EB995" s="25"/>
      <c r="EC995" s="25"/>
      <c r="ED995" s="25"/>
      <c r="EE995" s="25"/>
      <c r="EF995" s="25"/>
      <c r="EG995" s="25"/>
      <c r="EH995" s="25"/>
      <c r="EI995" s="25"/>
      <c r="EJ995" s="25"/>
      <c r="EK995" s="25"/>
      <c r="EL995" s="25"/>
      <c r="EM995" s="25"/>
      <c r="EN995" s="25"/>
      <c r="EO995" s="25"/>
      <c r="EP995" s="25"/>
      <c r="EQ995" s="25"/>
      <c r="ER995" s="25"/>
      <c r="ES995" s="25"/>
      <c r="ET995" s="25"/>
      <c r="EU995" s="25"/>
      <c r="EV995" s="25"/>
      <c r="EW995" s="25"/>
      <c r="EX995" s="25"/>
      <c r="EY995" s="25"/>
      <c r="EZ995" s="25"/>
      <c r="FA995" s="25"/>
      <c r="FB995" s="25"/>
      <c r="FC995" s="25"/>
      <c r="FD995" s="25"/>
      <c r="FE995" s="25"/>
      <c r="FF995" s="25"/>
      <c r="FG995" s="25"/>
      <c r="FH995" s="25"/>
      <c r="FI995" s="25"/>
      <c r="FJ995" s="25"/>
      <c r="FK995" s="25"/>
      <c r="FL995" s="25"/>
      <c r="FM995" s="25"/>
      <c r="FN995" s="25"/>
      <c r="FO995" s="25"/>
      <c r="FP995" s="25"/>
      <c r="FQ995" s="25"/>
      <c r="FR995" s="25"/>
      <c r="FS995" s="25"/>
      <c r="FT995" s="25"/>
      <c r="FU995" s="25"/>
      <c r="FV995" s="28"/>
      <c r="FW995" s="27"/>
      <c r="FX995" s="27"/>
      <c r="FY995" s="25"/>
      <c r="FZ995" s="25"/>
      <c r="GA995" s="25"/>
      <c r="GB995" s="25"/>
      <c r="GC995" s="25"/>
      <c r="GD995" s="25"/>
      <c r="GE995" s="25"/>
      <c r="GF995" s="25"/>
      <c r="GG995" s="25"/>
      <c r="GH995" s="25"/>
      <c r="GI995" s="25"/>
      <c r="GJ995" s="25"/>
      <c r="GK995" s="25"/>
      <c r="GL995" s="25"/>
      <c r="GM995" s="25"/>
      <c r="GN995" s="25"/>
      <c r="GO995" s="25"/>
      <c r="GP995" s="25"/>
      <c r="GQ995" s="25"/>
      <c r="GR995" s="25"/>
      <c r="GS995" s="25"/>
      <c r="GT995" s="25"/>
      <c r="GU995" s="25"/>
      <c r="GV995" s="25"/>
      <c r="GW995" s="25"/>
      <c r="GX995" s="25"/>
      <c r="GY995" s="25"/>
      <c r="GZ995" s="25"/>
      <c r="HA995" s="25"/>
      <c r="HB995" s="25"/>
      <c r="HC995" s="25"/>
      <c r="HD995" s="25"/>
      <c r="HE995" s="25"/>
      <c r="HF995" s="25"/>
      <c r="HG995" s="25"/>
      <c r="HH995" s="25"/>
      <c r="HI995" s="25"/>
      <c r="HJ995" s="25"/>
      <c r="HK995" s="25"/>
      <c r="HL995" s="25"/>
    </row>
    <row r="996" spans="1:220" ht="15.75" customHeight="1" x14ac:dyDescent="0.2">
      <c r="A996" s="25"/>
      <c r="B996" s="29"/>
      <c r="C996" s="26"/>
      <c r="D996" s="29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  <c r="CI996" s="25"/>
      <c r="CJ996" s="25"/>
      <c r="CK996" s="25"/>
      <c r="CL996" s="25"/>
      <c r="CM996" s="25"/>
      <c r="CN996" s="25"/>
      <c r="CO996" s="25"/>
      <c r="CP996" s="25"/>
      <c r="CQ996" s="25"/>
      <c r="CR996" s="25"/>
      <c r="CS996" s="25"/>
      <c r="CT996" s="25"/>
      <c r="CU996" s="25"/>
      <c r="CV996" s="25"/>
      <c r="CW996" s="25"/>
      <c r="CX996" s="25"/>
      <c r="CY996" s="25"/>
      <c r="CZ996" s="25"/>
      <c r="DA996" s="25"/>
      <c r="DB996" s="25"/>
      <c r="DC996" s="25"/>
      <c r="DD996" s="25"/>
      <c r="DE996" s="25"/>
      <c r="DF996" s="25"/>
      <c r="DG996" s="25"/>
      <c r="DH996" s="25"/>
      <c r="DI996" s="25"/>
      <c r="DJ996" s="25"/>
      <c r="DK996" s="25"/>
      <c r="DL996" s="25"/>
      <c r="DM996" s="25"/>
      <c r="DN996" s="25"/>
      <c r="DO996" s="25"/>
      <c r="DP996" s="25"/>
      <c r="DQ996" s="25"/>
      <c r="DR996" s="25"/>
      <c r="DS996" s="25"/>
      <c r="DT996" s="25"/>
      <c r="DU996" s="25"/>
      <c r="DV996" s="25"/>
      <c r="DW996" s="25"/>
      <c r="DX996" s="25"/>
      <c r="DY996" s="25"/>
      <c r="DZ996" s="25"/>
      <c r="EA996" s="25"/>
      <c r="EB996" s="25"/>
      <c r="EC996" s="25"/>
      <c r="ED996" s="25"/>
      <c r="EE996" s="25"/>
      <c r="EF996" s="25"/>
      <c r="EG996" s="25"/>
      <c r="EH996" s="25"/>
      <c r="EI996" s="25"/>
      <c r="EJ996" s="25"/>
      <c r="EK996" s="25"/>
      <c r="EL996" s="25"/>
      <c r="EM996" s="25"/>
      <c r="EN996" s="25"/>
      <c r="EO996" s="25"/>
      <c r="EP996" s="25"/>
      <c r="EQ996" s="25"/>
      <c r="ER996" s="25"/>
      <c r="ES996" s="25"/>
      <c r="ET996" s="25"/>
      <c r="EU996" s="25"/>
      <c r="EV996" s="25"/>
      <c r="EW996" s="25"/>
      <c r="EX996" s="25"/>
      <c r="EY996" s="25"/>
      <c r="EZ996" s="25"/>
      <c r="FA996" s="25"/>
      <c r="FB996" s="25"/>
      <c r="FC996" s="25"/>
      <c r="FD996" s="25"/>
      <c r="FE996" s="25"/>
      <c r="FF996" s="25"/>
      <c r="FG996" s="25"/>
      <c r="FH996" s="25"/>
      <c r="FI996" s="25"/>
      <c r="FJ996" s="25"/>
      <c r="FK996" s="25"/>
      <c r="FL996" s="25"/>
      <c r="FM996" s="25"/>
      <c r="FN996" s="25"/>
      <c r="FO996" s="25"/>
      <c r="FP996" s="25"/>
      <c r="FQ996" s="25"/>
      <c r="FR996" s="25"/>
      <c r="FS996" s="25"/>
      <c r="FT996" s="25"/>
      <c r="FU996" s="25"/>
      <c r="FV996" s="28"/>
      <c r="FW996" s="27"/>
      <c r="FX996" s="27"/>
      <c r="FY996" s="25"/>
      <c r="FZ996" s="25"/>
      <c r="GA996" s="25"/>
      <c r="GB996" s="25"/>
      <c r="GC996" s="25"/>
      <c r="GD996" s="25"/>
      <c r="GE996" s="25"/>
      <c r="GF996" s="25"/>
      <c r="GG996" s="25"/>
      <c r="GH996" s="25"/>
      <c r="GI996" s="25"/>
      <c r="GJ996" s="25"/>
      <c r="GK996" s="25"/>
      <c r="GL996" s="25"/>
      <c r="GM996" s="25"/>
      <c r="GN996" s="25"/>
      <c r="GO996" s="25"/>
      <c r="GP996" s="25"/>
      <c r="GQ996" s="25"/>
      <c r="GR996" s="25"/>
      <c r="GS996" s="25"/>
      <c r="GT996" s="25"/>
      <c r="GU996" s="25"/>
      <c r="GV996" s="25"/>
      <c r="GW996" s="25"/>
      <c r="GX996" s="25"/>
      <c r="GY996" s="25"/>
      <c r="GZ996" s="25"/>
      <c r="HA996" s="25"/>
      <c r="HB996" s="25"/>
      <c r="HC996" s="25"/>
      <c r="HD996" s="25"/>
      <c r="HE996" s="25"/>
      <c r="HF996" s="25"/>
      <c r="HG996" s="25"/>
      <c r="HH996" s="25"/>
      <c r="HI996" s="25"/>
      <c r="HJ996" s="25"/>
      <c r="HK996" s="25"/>
      <c r="HL996" s="25"/>
    </row>
    <row r="997" spans="1:220" ht="15.75" customHeight="1" x14ac:dyDescent="0.2">
      <c r="A997" s="25"/>
      <c r="B997" s="29"/>
      <c r="C997" s="26"/>
      <c r="D997" s="29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  <c r="CI997" s="25"/>
      <c r="CJ997" s="25"/>
      <c r="CK997" s="25"/>
      <c r="CL997" s="25"/>
      <c r="CM997" s="25"/>
      <c r="CN997" s="25"/>
      <c r="CO997" s="25"/>
      <c r="CP997" s="25"/>
      <c r="CQ997" s="25"/>
      <c r="CR997" s="25"/>
      <c r="CS997" s="25"/>
      <c r="CT997" s="25"/>
      <c r="CU997" s="25"/>
      <c r="CV997" s="25"/>
      <c r="CW997" s="25"/>
      <c r="CX997" s="25"/>
      <c r="CY997" s="25"/>
      <c r="CZ997" s="25"/>
      <c r="DA997" s="25"/>
      <c r="DB997" s="25"/>
      <c r="DC997" s="25"/>
      <c r="DD997" s="25"/>
      <c r="DE997" s="25"/>
      <c r="DF997" s="25"/>
      <c r="DG997" s="25"/>
      <c r="DH997" s="25"/>
      <c r="DI997" s="25"/>
      <c r="DJ997" s="25"/>
      <c r="DK997" s="25"/>
      <c r="DL997" s="25"/>
      <c r="DM997" s="25"/>
      <c r="DN997" s="25"/>
      <c r="DO997" s="25"/>
      <c r="DP997" s="25"/>
      <c r="DQ997" s="25"/>
      <c r="DR997" s="25"/>
      <c r="DS997" s="25"/>
      <c r="DT997" s="25"/>
      <c r="DU997" s="25"/>
      <c r="DV997" s="25"/>
      <c r="DW997" s="25"/>
      <c r="DX997" s="25"/>
      <c r="DY997" s="25"/>
      <c r="DZ997" s="25"/>
      <c r="EA997" s="25"/>
      <c r="EB997" s="25"/>
      <c r="EC997" s="25"/>
      <c r="ED997" s="25"/>
      <c r="EE997" s="25"/>
      <c r="EF997" s="25"/>
      <c r="EG997" s="25"/>
      <c r="EH997" s="25"/>
      <c r="EI997" s="25"/>
      <c r="EJ997" s="25"/>
      <c r="EK997" s="25"/>
      <c r="EL997" s="25"/>
      <c r="EM997" s="25"/>
      <c r="EN997" s="25"/>
      <c r="EO997" s="25"/>
      <c r="EP997" s="25"/>
      <c r="EQ997" s="25"/>
      <c r="ER997" s="25"/>
      <c r="ES997" s="25"/>
      <c r="ET997" s="25"/>
      <c r="EU997" s="25"/>
      <c r="EV997" s="25"/>
      <c r="EW997" s="25"/>
      <c r="EX997" s="25"/>
      <c r="EY997" s="25"/>
      <c r="EZ997" s="25"/>
      <c r="FA997" s="25"/>
      <c r="FB997" s="25"/>
      <c r="FC997" s="25"/>
      <c r="FD997" s="25"/>
      <c r="FE997" s="25"/>
      <c r="FF997" s="25"/>
      <c r="FG997" s="25"/>
      <c r="FH997" s="25"/>
      <c r="FI997" s="25"/>
      <c r="FJ997" s="25"/>
      <c r="FK997" s="25"/>
      <c r="FL997" s="25"/>
      <c r="FM997" s="25"/>
      <c r="FN997" s="25"/>
      <c r="FO997" s="25"/>
      <c r="FP997" s="25"/>
      <c r="FQ997" s="25"/>
      <c r="FR997" s="25"/>
      <c r="FS997" s="25"/>
      <c r="FT997" s="25"/>
      <c r="FU997" s="25"/>
      <c r="FV997" s="28"/>
      <c r="FW997" s="27"/>
      <c r="FX997" s="27"/>
      <c r="FY997" s="25"/>
      <c r="FZ997" s="25"/>
      <c r="GA997" s="25"/>
      <c r="GB997" s="25"/>
      <c r="GC997" s="25"/>
      <c r="GD997" s="25"/>
      <c r="GE997" s="25"/>
      <c r="GF997" s="25"/>
      <c r="GG997" s="25"/>
      <c r="GH997" s="25"/>
      <c r="GI997" s="25"/>
      <c r="GJ997" s="25"/>
      <c r="GK997" s="25"/>
      <c r="GL997" s="25"/>
      <c r="GM997" s="25"/>
      <c r="GN997" s="25"/>
      <c r="GO997" s="25"/>
      <c r="GP997" s="25"/>
      <c r="GQ997" s="25"/>
      <c r="GR997" s="25"/>
      <c r="GS997" s="25"/>
      <c r="GT997" s="25"/>
      <c r="GU997" s="25"/>
      <c r="GV997" s="25"/>
      <c r="GW997" s="25"/>
      <c r="GX997" s="25"/>
      <c r="GY997" s="25"/>
      <c r="GZ997" s="25"/>
      <c r="HA997" s="25"/>
      <c r="HB997" s="25"/>
      <c r="HC997" s="25"/>
      <c r="HD997" s="25"/>
      <c r="HE997" s="25"/>
      <c r="HF997" s="25"/>
      <c r="HG997" s="25"/>
      <c r="HH997" s="25"/>
      <c r="HI997" s="25"/>
      <c r="HJ997" s="25"/>
      <c r="HK997" s="25"/>
      <c r="HL997" s="25"/>
    </row>
    <row r="998" spans="1:220" ht="15.75" customHeight="1" x14ac:dyDescent="0.2">
      <c r="A998" s="25"/>
      <c r="B998" s="29"/>
      <c r="C998" s="26"/>
      <c r="D998" s="29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  <c r="CI998" s="25"/>
      <c r="CJ998" s="25"/>
      <c r="CK998" s="25"/>
      <c r="CL998" s="25"/>
      <c r="CM998" s="25"/>
      <c r="CN998" s="25"/>
      <c r="CO998" s="25"/>
      <c r="CP998" s="25"/>
      <c r="CQ998" s="25"/>
      <c r="CR998" s="25"/>
      <c r="CS998" s="25"/>
      <c r="CT998" s="25"/>
      <c r="CU998" s="25"/>
      <c r="CV998" s="25"/>
      <c r="CW998" s="25"/>
      <c r="CX998" s="25"/>
      <c r="CY998" s="25"/>
      <c r="CZ998" s="25"/>
      <c r="DA998" s="25"/>
      <c r="DB998" s="25"/>
      <c r="DC998" s="25"/>
      <c r="DD998" s="25"/>
      <c r="DE998" s="25"/>
      <c r="DF998" s="25"/>
      <c r="DG998" s="25"/>
      <c r="DH998" s="25"/>
      <c r="DI998" s="25"/>
      <c r="DJ998" s="25"/>
      <c r="DK998" s="25"/>
      <c r="DL998" s="25"/>
      <c r="DM998" s="25"/>
      <c r="DN998" s="25"/>
      <c r="DO998" s="25"/>
      <c r="DP998" s="25"/>
      <c r="DQ998" s="25"/>
      <c r="DR998" s="25"/>
      <c r="DS998" s="25"/>
      <c r="DT998" s="25"/>
      <c r="DU998" s="25"/>
      <c r="DV998" s="25"/>
      <c r="DW998" s="25"/>
      <c r="DX998" s="25"/>
      <c r="DY998" s="25"/>
      <c r="DZ998" s="25"/>
      <c r="EA998" s="25"/>
      <c r="EB998" s="25"/>
      <c r="EC998" s="25"/>
      <c r="ED998" s="25"/>
      <c r="EE998" s="25"/>
      <c r="EF998" s="25"/>
      <c r="EG998" s="25"/>
      <c r="EH998" s="25"/>
      <c r="EI998" s="25"/>
      <c r="EJ998" s="25"/>
      <c r="EK998" s="25"/>
      <c r="EL998" s="25"/>
      <c r="EM998" s="25"/>
      <c r="EN998" s="25"/>
      <c r="EO998" s="25"/>
      <c r="EP998" s="25"/>
      <c r="EQ998" s="25"/>
      <c r="ER998" s="25"/>
      <c r="ES998" s="25"/>
      <c r="ET998" s="25"/>
      <c r="EU998" s="25"/>
      <c r="EV998" s="25"/>
      <c r="EW998" s="25"/>
      <c r="EX998" s="25"/>
      <c r="EY998" s="25"/>
      <c r="EZ998" s="25"/>
      <c r="FA998" s="25"/>
      <c r="FB998" s="25"/>
      <c r="FC998" s="25"/>
      <c r="FD998" s="25"/>
      <c r="FE998" s="25"/>
      <c r="FF998" s="25"/>
      <c r="FG998" s="25"/>
      <c r="FH998" s="25"/>
      <c r="FI998" s="25"/>
      <c r="FJ998" s="25"/>
      <c r="FK998" s="25"/>
      <c r="FL998" s="25"/>
      <c r="FM998" s="25"/>
      <c r="FN998" s="25"/>
      <c r="FO998" s="25"/>
      <c r="FP998" s="25"/>
      <c r="FQ998" s="25"/>
      <c r="FR998" s="25"/>
      <c r="FS998" s="25"/>
      <c r="FT998" s="25"/>
      <c r="FU998" s="25"/>
      <c r="FV998" s="28"/>
      <c r="FW998" s="27"/>
      <c r="FX998" s="27"/>
      <c r="FY998" s="25"/>
      <c r="FZ998" s="25"/>
      <c r="GA998" s="25"/>
      <c r="GB998" s="25"/>
      <c r="GC998" s="25"/>
      <c r="GD998" s="25"/>
      <c r="GE998" s="25"/>
      <c r="GF998" s="25"/>
      <c r="GG998" s="25"/>
      <c r="GH998" s="25"/>
      <c r="GI998" s="25"/>
      <c r="GJ998" s="25"/>
      <c r="GK998" s="25"/>
      <c r="GL998" s="25"/>
      <c r="GM998" s="25"/>
      <c r="GN998" s="25"/>
      <c r="GO998" s="25"/>
      <c r="GP998" s="25"/>
      <c r="GQ998" s="25"/>
      <c r="GR998" s="25"/>
      <c r="GS998" s="25"/>
      <c r="GT998" s="25"/>
      <c r="GU998" s="25"/>
      <c r="GV998" s="25"/>
      <c r="GW998" s="25"/>
      <c r="GX998" s="25"/>
      <c r="GY998" s="25"/>
      <c r="GZ998" s="25"/>
      <c r="HA998" s="25"/>
      <c r="HB998" s="25"/>
      <c r="HC998" s="25"/>
      <c r="HD998" s="25"/>
      <c r="HE998" s="25"/>
      <c r="HF998" s="25"/>
      <c r="HG998" s="25"/>
      <c r="HH998" s="25"/>
      <c r="HI998" s="25"/>
      <c r="HJ998" s="25"/>
      <c r="HK998" s="25"/>
      <c r="HL998" s="25"/>
    </row>
    <row r="999" spans="1:220" ht="15.75" customHeight="1" x14ac:dyDescent="0.2">
      <c r="A999" s="25"/>
      <c r="B999" s="29"/>
      <c r="C999" s="26"/>
      <c r="D999" s="29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  <c r="CI999" s="25"/>
      <c r="CJ999" s="25"/>
      <c r="CK999" s="25"/>
      <c r="CL999" s="25"/>
      <c r="CM999" s="25"/>
      <c r="CN999" s="25"/>
      <c r="CO999" s="25"/>
      <c r="CP999" s="25"/>
      <c r="CQ999" s="25"/>
      <c r="CR999" s="25"/>
      <c r="CS999" s="25"/>
      <c r="CT999" s="25"/>
      <c r="CU999" s="25"/>
      <c r="CV999" s="25"/>
      <c r="CW999" s="25"/>
      <c r="CX999" s="25"/>
      <c r="CY999" s="25"/>
      <c r="CZ999" s="25"/>
      <c r="DA999" s="25"/>
      <c r="DB999" s="25"/>
      <c r="DC999" s="25"/>
      <c r="DD999" s="25"/>
      <c r="DE999" s="25"/>
      <c r="DF999" s="25"/>
      <c r="DG999" s="25"/>
      <c r="DH999" s="25"/>
      <c r="DI999" s="25"/>
      <c r="DJ999" s="25"/>
      <c r="DK999" s="25"/>
      <c r="DL999" s="25"/>
      <c r="DM999" s="25"/>
      <c r="DN999" s="25"/>
      <c r="DO999" s="25"/>
      <c r="DP999" s="25"/>
      <c r="DQ999" s="25"/>
      <c r="DR999" s="25"/>
      <c r="DS999" s="25"/>
      <c r="DT999" s="25"/>
      <c r="DU999" s="25"/>
      <c r="DV999" s="25"/>
      <c r="DW999" s="25"/>
      <c r="DX999" s="25"/>
      <c r="DY999" s="25"/>
      <c r="DZ999" s="25"/>
      <c r="EA999" s="25"/>
      <c r="EB999" s="25"/>
      <c r="EC999" s="25"/>
      <c r="ED999" s="25"/>
      <c r="EE999" s="25"/>
      <c r="EF999" s="25"/>
      <c r="EG999" s="25"/>
      <c r="EH999" s="25"/>
      <c r="EI999" s="25"/>
      <c r="EJ999" s="25"/>
      <c r="EK999" s="25"/>
      <c r="EL999" s="25"/>
      <c r="EM999" s="25"/>
      <c r="EN999" s="25"/>
      <c r="EO999" s="25"/>
      <c r="EP999" s="25"/>
      <c r="EQ999" s="25"/>
      <c r="ER999" s="25"/>
      <c r="ES999" s="25"/>
      <c r="ET999" s="25"/>
      <c r="EU999" s="25"/>
      <c r="EV999" s="25"/>
      <c r="EW999" s="25"/>
      <c r="EX999" s="25"/>
      <c r="EY999" s="25"/>
      <c r="EZ999" s="25"/>
      <c r="FA999" s="25"/>
      <c r="FB999" s="25"/>
      <c r="FC999" s="25"/>
      <c r="FD999" s="25"/>
      <c r="FE999" s="25"/>
      <c r="FF999" s="25"/>
      <c r="FG999" s="25"/>
      <c r="FH999" s="25"/>
      <c r="FI999" s="25"/>
      <c r="FJ999" s="25"/>
      <c r="FK999" s="25"/>
      <c r="FL999" s="25"/>
      <c r="FM999" s="25"/>
      <c r="FN999" s="25"/>
      <c r="FO999" s="25"/>
      <c r="FP999" s="25"/>
      <c r="FQ999" s="25"/>
      <c r="FR999" s="25"/>
      <c r="FS999" s="25"/>
      <c r="FT999" s="25"/>
      <c r="FU999" s="25"/>
      <c r="FV999" s="28"/>
      <c r="FW999" s="27"/>
      <c r="FX999" s="27"/>
      <c r="FY999" s="25"/>
      <c r="FZ999" s="25"/>
      <c r="GA999" s="25"/>
      <c r="GB999" s="25"/>
      <c r="GC999" s="25"/>
      <c r="GD999" s="25"/>
      <c r="GE999" s="25"/>
      <c r="GF999" s="25"/>
      <c r="GG999" s="25"/>
      <c r="GH999" s="25"/>
      <c r="GI999" s="25"/>
      <c r="GJ999" s="25"/>
      <c r="GK999" s="25"/>
      <c r="GL999" s="25"/>
      <c r="GM999" s="25"/>
      <c r="GN999" s="25"/>
      <c r="GO999" s="25"/>
      <c r="GP999" s="25"/>
      <c r="GQ999" s="25"/>
      <c r="GR999" s="25"/>
      <c r="GS999" s="25"/>
      <c r="GT999" s="25"/>
      <c r="GU999" s="25"/>
      <c r="GV999" s="25"/>
      <c r="GW999" s="25"/>
      <c r="GX999" s="25"/>
      <c r="GY999" s="25"/>
      <c r="GZ999" s="25"/>
      <c r="HA999" s="25"/>
      <c r="HB999" s="25"/>
      <c r="HC999" s="25"/>
      <c r="HD999" s="25"/>
      <c r="HE999" s="25"/>
      <c r="HF999" s="25"/>
      <c r="HG999" s="25"/>
      <c r="HH999" s="25"/>
      <c r="HI999" s="25"/>
      <c r="HJ999" s="25"/>
      <c r="HK999" s="25"/>
      <c r="HL999" s="25"/>
    </row>
    <row r="1000" spans="1:220" ht="15.75" customHeight="1" x14ac:dyDescent="0.2">
      <c r="A1000" s="25"/>
      <c r="B1000" s="29"/>
      <c r="C1000" s="26"/>
      <c r="D1000" s="29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  <c r="CI1000" s="25"/>
      <c r="CJ1000" s="25"/>
      <c r="CK1000" s="25"/>
      <c r="CL1000" s="25"/>
      <c r="CM1000" s="25"/>
      <c r="CN1000" s="25"/>
      <c r="CO1000" s="25"/>
      <c r="CP1000" s="25"/>
      <c r="CQ1000" s="25"/>
      <c r="CR1000" s="25"/>
      <c r="CS1000" s="25"/>
      <c r="CT1000" s="25"/>
      <c r="CU1000" s="25"/>
      <c r="CV1000" s="25"/>
      <c r="CW1000" s="25"/>
      <c r="CX1000" s="25"/>
      <c r="CY1000" s="25"/>
      <c r="CZ1000" s="25"/>
      <c r="DA1000" s="25"/>
      <c r="DB1000" s="25"/>
      <c r="DC1000" s="25"/>
      <c r="DD1000" s="25"/>
      <c r="DE1000" s="25"/>
      <c r="DF1000" s="25"/>
      <c r="DG1000" s="25"/>
      <c r="DH1000" s="25"/>
      <c r="DI1000" s="25"/>
      <c r="DJ1000" s="25"/>
      <c r="DK1000" s="25"/>
      <c r="DL1000" s="25"/>
      <c r="DM1000" s="25"/>
      <c r="DN1000" s="25"/>
      <c r="DO1000" s="25"/>
      <c r="DP1000" s="25"/>
      <c r="DQ1000" s="25"/>
      <c r="DR1000" s="25"/>
      <c r="DS1000" s="25"/>
      <c r="DT1000" s="25"/>
      <c r="DU1000" s="25"/>
      <c r="DV1000" s="25"/>
      <c r="DW1000" s="25"/>
      <c r="DX1000" s="25"/>
      <c r="DY1000" s="25"/>
      <c r="DZ1000" s="25"/>
      <c r="EA1000" s="25"/>
      <c r="EB1000" s="25"/>
      <c r="EC1000" s="25"/>
      <c r="ED1000" s="25"/>
      <c r="EE1000" s="25"/>
      <c r="EF1000" s="25"/>
      <c r="EG1000" s="25"/>
      <c r="EH1000" s="25"/>
      <c r="EI1000" s="25"/>
      <c r="EJ1000" s="25"/>
      <c r="EK1000" s="25"/>
      <c r="EL1000" s="25"/>
      <c r="EM1000" s="25"/>
      <c r="EN1000" s="25"/>
      <c r="EO1000" s="25"/>
      <c r="EP1000" s="25"/>
      <c r="EQ1000" s="25"/>
      <c r="ER1000" s="25"/>
      <c r="ES1000" s="25"/>
      <c r="ET1000" s="25"/>
      <c r="EU1000" s="25"/>
      <c r="EV1000" s="25"/>
      <c r="EW1000" s="25"/>
      <c r="EX1000" s="25"/>
      <c r="EY1000" s="25"/>
      <c r="EZ1000" s="25"/>
      <c r="FA1000" s="25"/>
      <c r="FB1000" s="25"/>
      <c r="FC1000" s="25"/>
      <c r="FD1000" s="25"/>
      <c r="FE1000" s="25"/>
      <c r="FF1000" s="25"/>
      <c r="FG1000" s="25"/>
      <c r="FH1000" s="25"/>
      <c r="FI1000" s="25"/>
      <c r="FJ1000" s="25"/>
      <c r="FK1000" s="25"/>
      <c r="FL1000" s="25"/>
      <c r="FM1000" s="25"/>
      <c r="FN1000" s="25"/>
      <c r="FO1000" s="25"/>
      <c r="FP1000" s="25"/>
      <c r="FQ1000" s="25"/>
      <c r="FR1000" s="25"/>
      <c r="FS1000" s="25"/>
      <c r="FT1000" s="25"/>
      <c r="FU1000" s="25"/>
      <c r="FV1000" s="28"/>
      <c r="FW1000" s="27"/>
      <c r="FX1000" s="27"/>
      <c r="FY1000" s="25"/>
      <c r="FZ1000" s="25"/>
      <c r="GA1000" s="25"/>
      <c r="GB1000" s="25"/>
      <c r="GC1000" s="25"/>
      <c r="GD1000" s="25"/>
      <c r="GE1000" s="25"/>
      <c r="GF1000" s="25"/>
      <c r="GG1000" s="25"/>
      <c r="GH1000" s="25"/>
      <c r="GI1000" s="25"/>
      <c r="GJ1000" s="25"/>
      <c r="GK1000" s="25"/>
      <c r="GL1000" s="25"/>
      <c r="GM1000" s="25"/>
      <c r="GN1000" s="25"/>
      <c r="GO1000" s="25"/>
      <c r="GP1000" s="25"/>
      <c r="GQ1000" s="25"/>
      <c r="GR1000" s="25"/>
      <c r="GS1000" s="25"/>
      <c r="GT1000" s="25"/>
      <c r="GU1000" s="25"/>
      <c r="GV1000" s="25"/>
      <c r="GW1000" s="25"/>
      <c r="GX1000" s="25"/>
      <c r="GY1000" s="25"/>
      <c r="GZ1000" s="25"/>
      <c r="HA1000" s="25"/>
      <c r="HB1000" s="25"/>
      <c r="HC1000" s="25"/>
      <c r="HD1000" s="25"/>
      <c r="HE1000" s="25"/>
      <c r="HF1000" s="25"/>
      <c r="HG1000" s="25"/>
      <c r="HH1000" s="25"/>
      <c r="HI1000" s="25"/>
      <c r="HJ1000" s="25"/>
      <c r="HK1000" s="25"/>
      <c r="HL1000" s="25"/>
    </row>
    <row r="1001" spans="1:220" ht="15.75" customHeight="1" x14ac:dyDescent="0.2">
      <c r="A1001" s="25"/>
      <c r="B1001" s="29"/>
      <c r="C1001" s="26"/>
      <c r="D1001" s="29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  <c r="CA1001" s="25"/>
      <c r="CB1001" s="25"/>
      <c r="CC1001" s="25"/>
      <c r="CD1001" s="25"/>
      <c r="CE1001" s="25"/>
      <c r="CF1001" s="25"/>
      <c r="CG1001" s="25"/>
      <c r="CH1001" s="25"/>
      <c r="CI1001" s="25"/>
      <c r="CJ1001" s="25"/>
      <c r="CK1001" s="25"/>
      <c r="CL1001" s="25"/>
      <c r="CM1001" s="25"/>
      <c r="CN1001" s="25"/>
      <c r="CO1001" s="25"/>
      <c r="CP1001" s="25"/>
      <c r="CQ1001" s="25"/>
      <c r="CR1001" s="25"/>
      <c r="CS1001" s="25"/>
      <c r="CT1001" s="25"/>
      <c r="CU1001" s="25"/>
      <c r="CV1001" s="25"/>
      <c r="CW1001" s="25"/>
      <c r="CX1001" s="25"/>
      <c r="CY1001" s="25"/>
      <c r="CZ1001" s="25"/>
      <c r="DA1001" s="25"/>
      <c r="DB1001" s="25"/>
      <c r="DC1001" s="25"/>
      <c r="DD1001" s="25"/>
      <c r="DE1001" s="25"/>
      <c r="DF1001" s="25"/>
      <c r="DG1001" s="25"/>
      <c r="DH1001" s="25"/>
      <c r="DI1001" s="25"/>
      <c r="DJ1001" s="25"/>
      <c r="DK1001" s="25"/>
      <c r="DL1001" s="25"/>
      <c r="DM1001" s="25"/>
      <c r="DN1001" s="25"/>
      <c r="DO1001" s="25"/>
      <c r="DP1001" s="25"/>
      <c r="DQ1001" s="25"/>
      <c r="DR1001" s="25"/>
      <c r="DS1001" s="25"/>
      <c r="DT1001" s="25"/>
      <c r="DU1001" s="25"/>
      <c r="DV1001" s="25"/>
      <c r="DW1001" s="25"/>
      <c r="DX1001" s="25"/>
      <c r="DY1001" s="25"/>
      <c r="DZ1001" s="25"/>
      <c r="EA1001" s="25"/>
      <c r="EB1001" s="25"/>
      <c r="EC1001" s="25"/>
      <c r="ED1001" s="25"/>
      <c r="EE1001" s="25"/>
      <c r="EF1001" s="25"/>
      <c r="EG1001" s="25"/>
      <c r="EH1001" s="25"/>
      <c r="EI1001" s="25"/>
      <c r="EJ1001" s="25"/>
      <c r="EK1001" s="25"/>
      <c r="EL1001" s="25"/>
      <c r="EM1001" s="25"/>
      <c r="EN1001" s="25"/>
      <c r="EO1001" s="25"/>
      <c r="EP1001" s="25"/>
      <c r="EQ1001" s="25"/>
      <c r="ER1001" s="25"/>
      <c r="ES1001" s="25"/>
      <c r="ET1001" s="25"/>
      <c r="EU1001" s="25"/>
      <c r="EV1001" s="25"/>
      <c r="EW1001" s="25"/>
      <c r="EX1001" s="25"/>
      <c r="EY1001" s="25"/>
      <c r="EZ1001" s="25"/>
      <c r="FA1001" s="25"/>
      <c r="FB1001" s="25"/>
      <c r="FC1001" s="25"/>
      <c r="FD1001" s="25"/>
      <c r="FE1001" s="25"/>
      <c r="FF1001" s="25"/>
      <c r="FG1001" s="25"/>
      <c r="FH1001" s="25"/>
      <c r="FI1001" s="25"/>
      <c r="FJ1001" s="25"/>
      <c r="FK1001" s="25"/>
      <c r="FL1001" s="25"/>
      <c r="FM1001" s="25"/>
      <c r="FN1001" s="25"/>
      <c r="FO1001" s="25"/>
      <c r="FP1001" s="25"/>
      <c r="FQ1001" s="25"/>
      <c r="FR1001" s="25"/>
      <c r="FS1001" s="25"/>
      <c r="FT1001" s="25"/>
      <c r="FU1001" s="25"/>
      <c r="FV1001" s="28"/>
      <c r="FW1001" s="27"/>
      <c r="FX1001" s="27"/>
      <c r="FY1001" s="25"/>
      <c r="FZ1001" s="25"/>
      <c r="GA1001" s="25"/>
      <c r="GB1001" s="25"/>
      <c r="GC1001" s="25"/>
      <c r="GD1001" s="25"/>
      <c r="GE1001" s="25"/>
      <c r="GF1001" s="25"/>
      <c r="GG1001" s="25"/>
      <c r="GH1001" s="25"/>
      <c r="GI1001" s="25"/>
      <c r="GJ1001" s="25"/>
      <c r="GK1001" s="25"/>
      <c r="GL1001" s="25"/>
      <c r="GM1001" s="25"/>
      <c r="GN1001" s="25"/>
      <c r="GO1001" s="25"/>
      <c r="GP1001" s="25"/>
      <c r="GQ1001" s="25"/>
      <c r="GR1001" s="25"/>
      <c r="GS1001" s="25"/>
      <c r="GT1001" s="25"/>
      <c r="GU1001" s="25"/>
      <c r="GV1001" s="25"/>
      <c r="GW1001" s="25"/>
      <c r="GX1001" s="25"/>
      <c r="GY1001" s="25"/>
      <c r="GZ1001" s="25"/>
      <c r="HA1001" s="25"/>
      <c r="HB1001" s="25"/>
      <c r="HC1001" s="25"/>
      <c r="HD1001" s="25"/>
      <c r="HE1001" s="25"/>
      <c r="HF1001" s="25"/>
      <c r="HG1001" s="25"/>
      <c r="HH1001" s="25"/>
      <c r="HI1001" s="25"/>
      <c r="HJ1001" s="25"/>
      <c r="HK1001" s="25"/>
      <c r="HL1001" s="25"/>
    </row>
    <row r="1002" spans="1:220" ht="15.75" customHeight="1" x14ac:dyDescent="0.2">
      <c r="A1002" s="25"/>
      <c r="B1002" s="29"/>
      <c r="C1002" s="26"/>
      <c r="D1002" s="29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  <c r="CA1002" s="25"/>
      <c r="CB1002" s="25"/>
      <c r="CC1002" s="25"/>
      <c r="CD1002" s="25"/>
      <c r="CE1002" s="25"/>
      <c r="CF1002" s="25"/>
      <c r="CG1002" s="25"/>
      <c r="CH1002" s="25"/>
      <c r="CI1002" s="25"/>
      <c r="CJ1002" s="25"/>
      <c r="CK1002" s="25"/>
      <c r="CL1002" s="25"/>
      <c r="CM1002" s="25"/>
      <c r="CN1002" s="25"/>
      <c r="CO1002" s="25"/>
      <c r="CP1002" s="25"/>
      <c r="CQ1002" s="25"/>
      <c r="CR1002" s="25"/>
      <c r="CS1002" s="25"/>
      <c r="CT1002" s="25"/>
      <c r="CU1002" s="25"/>
      <c r="CV1002" s="25"/>
      <c r="CW1002" s="25"/>
      <c r="CX1002" s="25"/>
      <c r="CY1002" s="25"/>
      <c r="CZ1002" s="25"/>
      <c r="DA1002" s="25"/>
      <c r="DB1002" s="25"/>
      <c r="DC1002" s="25"/>
      <c r="DD1002" s="25"/>
      <c r="DE1002" s="25"/>
      <c r="DF1002" s="25"/>
      <c r="DG1002" s="25"/>
      <c r="DH1002" s="25"/>
      <c r="DI1002" s="25"/>
      <c r="DJ1002" s="25"/>
      <c r="DK1002" s="25"/>
      <c r="DL1002" s="25"/>
      <c r="DM1002" s="25"/>
      <c r="DN1002" s="25"/>
      <c r="DO1002" s="25"/>
      <c r="DP1002" s="25"/>
      <c r="DQ1002" s="25"/>
      <c r="DR1002" s="25"/>
      <c r="DS1002" s="25"/>
      <c r="DT1002" s="25"/>
      <c r="DU1002" s="25"/>
      <c r="DV1002" s="25"/>
      <c r="DW1002" s="25"/>
      <c r="DX1002" s="25"/>
      <c r="DY1002" s="25"/>
      <c r="DZ1002" s="25"/>
      <c r="EA1002" s="25"/>
      <c r="EB1002" s="25"/>
      <c r="EC1002" s="25"/>
      <c r="ED1002" s="25"/>
      <c r="EE1002" s="25"/>
      <c r="EF1002" s="25"/>
      <c r="EG1002" s="25"/>
      <c r="EH1002" s="25"/>
      <c r="EI1002" s="25"/>
      <c r="EJ1002" s="25"/>
      <c r="EK1002" s="25"/>
      <c r="EL1002" s="25"/>
      <c r="EM1002" s="25"/>
      <c r="EN1002" s="25"/>
      <c r="EO1002" s="25"/>
      <c r="EP1002" s="25"/>
      <c r="EQ1002" s="25"/>
      <c r="ER1002" s="25"/>
      <c r="ES1002" s="25"/>
      <c r="ET1002" s="25"/>
      <c r="EU1002" s="25"/>
      <c r="EV1002" s="25"/>
      <c r="EW1002" s="25"/>
      <c r="EX1002" s="25"/>
      <c r="EY1002" s="25"/>
      <c r="EZ1002" s="25"/>
      <c r="FA1002" s="25"/>
      <c r="FB1002" s="25"/>
      <c r="FC1002" s="25"/>
      <c r="FD1002" s="25"/>
      <c r="FE1002" s="25"/>
      <c r="FF1002" s="25"/>
      <c r="FG1002" s="25"/>
      <c r="FH1002" s="25"/>
      <c r="FI1002" s="25"/>
      <c r="FJ1002" s="25"/>
      <c r="FK1002" s="25"/>
      <c r="FL1002" s="25"/>
      <c r="FM1002" s="25"/>
      <c r="FN1002" s="25"/>
      <c r="FO1002" s="25"/>
      <c r="FP1002" s="25"/>
      <c r="FQ1002" s="25"/>
      <c r="FR1002" s="25"/>
      <c r="FS1002" s="25"/>
      <c r="FT1002" s="25"/>
      <c r="FU1002" s="25"/>
      <c r="FV1002" s="28"/>
      <c r="FW1002" s="27"/>
      <c r="FX1002" s="27"/>
      <c r="FY1002" s="25"/>
      <c r="FZ1002" s="25"/>
      <c r="GA1002" s="25"/>
      <c r="GB1002" s="25"/>
      <c r="GC1002" s="25"/>
      <c r="GD1002" s="25"/>
      <c r="GE1002" s="25"/>
      <c r="GF1002" s="25"/>
      <c r="GG1002" s="25"/>
      <c r="GH1002" s="25"/>
      <c r="GI1002" s="25"/>
      <c r="GJ1002" s="25"/>
      <c r="GK1002" s="25"/>
      <c r="GL1002" s="25"/>
      <c r="GM1002" s="25"/>
      <c r="GN1002" s="25"/>
      <c r="GO1002" s="25"/>
      <c r="GP1002" s="25"/>
      <c r="GQ1002" s="25"/>
      <c r="GR1002" s="25"/>
      <c r="GS1002" s="25"/>
      <c r="GT1002" s="25"/>
      <c r="GU1002" s="25"/>
      <c r="GV1002" s="25"/>
      <c r="GW1002" s="25"/>
      <c r="GX1002" s="25"/>
      <c r="GY1002" s="25"/>
      <c r="GZ1002" s="25"/>
      <c r="HA1002" s="25"/>
      <c r="HB1002" s="25"/>
      <c r="HC1002" s="25"/>
      <c r="HD1002" s="25"/>
      <c r="HE1002" s="25"/>
      <c r="HF1002" s="25"/>
      <c r="HG1002" s="25"/>
      <c r="HH1002" s="25"/>
      <c r="HI1002" s="25"/>
      <c r="HJ1002" s="25"/>
      <c r="HK1002" s="25"/>
      <c r="HL1002" s="25"/>
    </row>
    <row r="1003" spans="1:220" ht="15.75" customHeight="1" x14ac:dyDescent="0.2">
      <c r="A1003" s="25"/>
      <c r="B1003" s="29"/>
      <c r="C1003" s="26"/>
      <c r="D1003" s="29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  <c r="CA1003" s="25"/>
      <c r="CB1003" s="25"/>
      <c r="CC1003" s="25"/>
      <c r="CD1003" s="25"/>
      <c r="CE1003" s="25"/>
      <c r="CF1003" s="25"/>
      <c r="CG1003" s="25"/>
      <c r="CH1003" s="25"/>
      <c r="CI1003" s="25"/>
      <c r="CJ1003" s="25"/>
      <c r="CK1003" s="25"/>
      <c r="CL1003" s="25"/>
      <c r="CM1003" s="25"/>
      <c r="CN1003" s="25"/>
      <c r="CO1003" s="25"/>
      <c r="CP1003" s="25"/>
      <c r="CQ1003" s="25"/>
      <c r="CR1003" s="25"/>
      <c r="CS1003" s="25"/>
      <c r="CT1003" s="25"/>
      <c r="CU1003" s="25"/>
      <c r="CV1003" s="25"/>
      <c r="CW1003" s="25"/>
      <c r="CX1003" s="25"/>
      <c r="CY1003" s="25"/>
      <c r="CZ1003" s="25"/>
      <c r="DA1003" s="25"/>
      <c r="DB1003" s="25"/>
      <c r="DC1003" s="25"/>
      <c r="DD1003" s="25"/>
      <c r="DE1003" s="25"/>
      <c r="DF1003" s="25"/>
      <c r="DG1003" s="25"/>
      <c r="DH1003" s="25"/>
      <c r="DI1003" s="25"/>
      <c r="DJ1003" s="25"/>
      <c r="DK1003" s="25"/>
      <c r="DL1003" s="25"/>
      <c r="DM1003" s="25"/>
      <c r="DN1003" s="25"/>
      <c r="DO1003" s="25"/>
      <c r="DP1003" s="25"/>
      <c r="DQ1003" s="25"/>
      <c r="DR1003" s="25"/>
      <c r="DS1003" s="25"/>
      <c r="DT1003" s="25"/>
      <c r="DU1003" s="25"/>
      <c r="DV1003" s="25"/>
      <c r="DW1003" s="25"/>
      <c r="DX1003" s="25"/>
      <c r="DY1003" s="25"/>
      <c r="DZ1003" s="25"/>
      <c r="EA1003" s="25"/>
      <c r="EB1003" s="25"/>
      <c r="EC1003" s="25"/>
      <c r="ED1003" s="25"/>
      <c r="EE1003" s="25"/>
      <c r="EF1003" s="25"/>
      <c r="EG1003" s="25"/>
      <c r="EH1003" s="25"/>
      <c r="EI1003" s="25"/>
      <c r="EJ1003" s="25"/>
      <c r="EK1003" s="25"/>
      <c r="EL1003" s="25"/>
      <c r="EM1003" s="25"/>
      <c r="EN1003" s="25"/>
      <c r="EO1003" s="25"/>
      <c r="EP1003" s="25"/>
      <c r="EQ1003" s="25"/>
      <c r="ER1003" s="25"/>
      <c r="ES1003" s="25"/>
      <c r="ET1003" s="25"/>
      <c r="EU1003" s="25"/>
      <c r="EV1003" s="25"/>
      <c r="EW1003" s="25"/>
      <c r="EX1003" s="25"/>
      <c r="EY1003" s="25"/>
      <c r="EZ1003" s="25"/>
      <c r="FA1003" s="25"/>
      <c r="FB1003" s="25"/>
      <c r="FC1003" s="25"/>
      <c r="FD1003" s="25"/>
      <c r="FE1003" s="25"/>
      <c r="FF1003" s="25"/>
      <c r="FG1003" s="25"/>
      <c r="FH1003" s="25"/>
      <c r="FI1003" s="25"/>
      <c r="FJ1003" s="25"/>
      <c r="FK1003" s="25"/>
      <c r="FL1003" s="25"/>
      <c r="FM1003" s="25"/>
      <c r="FN1003" s="25"/>
      <c r="FO1003" s="25"/>
      <c r="FP1003" s="25"/>
      <c r="FQ1003" s="25"/>
      <c r="FR1003" s="25"/>
      <c r="FS1003" s="25"/>
      <c r="FT1003" s="25"/>
      <c r="FU1003" s="25"/>
      <c r="FV1003" s="28"/>
      <c r="FW1003" s="27"/>
      <c r="FX1003" s="27"/>
      <c r="FY1003" s="25"/>
      <c r="FZ1003" s="25"/>
      <c r="GA1003" s="25"/>
      <c r="GB1003" s="25"/>
      <c r="GC1003" s="25"/>
      <c r="GD1003" s="25"/>
      <c r="GE1003" s="25"/>
      <c r="GF1003" s="25"/>
      <c r="GG1003" s="25"/>
      <c r="GH1003" s="25"/>
      <c r="GI1003" s="25"/>
      <c r="GJ1003" s="25"/>
      <c r="GK1003" s="25"/>
      <c r="GL1003" s="25"/>
      <c r="GM1003" s="25"/>
      <c r="GN1003" s="25"/>
      <c r="GO1003" s="25"/>
      <c r="GP1003" s="25"/>
      <c r="GQ1003" s="25"/>
      <c r="GR1003" s="25"/>
      <c r="GS1003" s="25"/>
      <c r="GT1003" s="25"/>
      <c r="GU1003" s="25"/>
      <c r="GV1003" s="25"/>
      <c r="GW1003" s="25"/>
      <c r="GX1003" s="25"/>
      <c r="GY1003" s="25"/>
      <c r="GZ1003" s="25"/>
      <c r="HA1003" s="25"/>
      <c r="HB1003" s="25"/>
      <c r="HC1003" s="25"/>
      <c r="HD1003" s="25"/>
      <c r="HE1003" s="25"/>
      <c r="HF1003" s="25"/>
      <c r="HG1003" s="25"/>
      <c r="HH1003" s="25"/>
      <c r="HI1003" s="25"/>
      <c r="HJ1003" s="25"/>
      <c r="HK1003" s="25"/>
      <c r="HL1003" s="25"/>
    </row>
    <row r="1004" spans="1:220" ht="15.75" customHeight="1" x14ac:dyDescent="0.2">
      <c r="A1004" s="25"/>
      <c r="B1004" s="29"/>
      <c r="C1004" s="26"/>
      <c r="D1004" s="29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  <c r="CA1004" s="25"/>
      <c r="CB1004" s="25"/>
      <c r="CC1004" s="25"/>
      <c r="CD1004" s="25"/>
      <c r="CE1004" s="25"/>
      <c r="CF1004" s="25"/>
      <c r="CG1004" s="25"/>
      <c r="CH1004" s="25"/>
      <c r="CI1004" s="25"/>
      <c r="CJ1004" s="25"/>
      <c r="CK1004" s="25"/>
      <c r="CL1004" s="25"/>
      <c r="CM1004" s="25"/>
      <c r="CN1004" s="25"/>
      <c r="CO1004" s="25"/>
      <c r="CP1004" s="25"/>
      <c r="CQ1004" s="25"/>
      <c r="CR1004" s="25"/>
      <c r="CS1004" s="25"/>
      <c r="CT1004" s="25"/>
      <c r="CU1004" s="25"/>
      <c r="CV1004" s="25"/>
      <c r="CW1004" s="25"/>
      <c r="CX1004" s="25"/>
      <c r="CY1004" s="25"/>
      <c r="CZ1004" s="25"/>
      <c r="DA1004" s="25"/>
      <c r="DB1004" s="25"/>
      <c r="DC1004" s="25"/>
      <c r="DD1004" s="25"/>
      <c r="DE1004" s="25"/>
      <c r="DF1004" s="25"/>
      <c r="DG1004" s="25"/>
      <c r="DH1004" s="25"/>
      <c r="DI1004" s="25"/>
      <c r="DJ1004" s="25"/>
      <c r="DK1004" s="25"/>
      <c r="DL1004" s="25"/>
      <c r="DM1004" s="25"/>
      <c r="DN1004" s="25"/>
      <c r="DO1004" s="25"/>
      <c r="DP1004" s="25"/>
      <c r="DQ1004" s="25"/>
      <c r="DR1004" s="25"/>
      <c r="DS1004" s="25"/>
      <c r="DT1004" s="25"/>
      <c r="DU1004" s="25"/>
      <c r="DV1004" s="25"/>
      <c r="DW1004" s="25"/>
      <c r="DX1004" s="25"/>
      <c r="DY1004" s="25"/>
      <c r="DZ1004" s="25"/>
      <c r="EA1004" s="25"/>
      <c r="EB1004" s="25"/>
      <c r="EC1004" s="25"/>
      <c r="ED1004" s="25"/>
      <c r="EE1004" s="25"/>
      <c r="EF1004" s="25"/>
      <c r="EG1004" s="25"/>
      <c r="EH1004" s="25"/>
      <c r="EI1004" s="25"/>
      <c r="EJ1004" s="25"/>
      <c r="EK1004" s="25"/>
      <c r="EL1004" s="25"/>
      <c r="EM1004" s="25"/>
      <c r="EN1004" s="25"/>
      <c r="EO1004" s="25"/>
      <c r="EP1004" s="25"/>
      <c r="EQ1004" s="25"/>
      <c r="ER1004" s="25"/>
      <c r="ES1004" s="25"/>
      <c r="ET1004" s="25"/>
      <c r="EU1004" s="25"/>
      <c r="EV1004" s="25"/>
      <c r="EW1004" s="25"/>
      <c r="EX1004" s="25"/>
      <c r="EY1004" s="25"/>
      <c r="EZ1004" s="25"/>
      <c r="FA1004" s="25"/>
      <c r="FB1004" s="25"/>
      <c r="FC1004" s="25"/>
      <c r="FD1004" s="25"/>
      <c r="FE1004" s="25"/>
      <c r="FF1004" s="25"/>
      <c r="FG1004" s="25"/>
      <c r="FH1004" s="25"/>
      <c r="FI1004" s="25"/>
      <c r="FJ1004" s="25"/>
      <c r="FK1004" s="25"/>
      <c r="FL1004" s="25"/>
      <c r="FM1004" s="25"/>
      <c r="FN1004" s="25"/>
      <c r="FO1004" s="25"/>
      <c r="FP1004" s="25"/>
      <c r="FQ1004" s="25"/>
      <c r="FR1004" s="25"/>
      <c r="FS1004" s="25"/>
      <c r="FT1004" s="25"/>
      <c r="FU1004" s="25"/>
      <c r="FV1004" s="28"/>
      <c r="FW1004" s="27"/>
      <c r="FX1004" s="27"/>
      <c r="FY1004" s="25"/>
      <c r="FZ1004" s="25"/>
      <c r="GA1004" s="25"/>
      <c r="GB1004" s="25"/>
      <c r="GC1004" s="25"/>
      <c r="GD1004" s="25"/>
      <c r="GE1004" s="25"/>
      <c r="GF1004" s="25"/>
      <c r="GG1004" s="25"/>
      <c r="GH1004" s="25"/>
      <c r="GI1004" s="25"/>
      <c r="GJ1004" s="25"/>
      <c r="GK1004" s="25"/>
      <c r="GL1004" s="25"/>
      <c r="GM1004" s="25"/>
      <c r="GN1004" s="25"/>
      <c r="GO1004" s="25"/>
      <c r="GP1004" s="25"/>
      <c r="GQ1004" s="25"/>
      <c r="GR1004" s="25"/>
      <c r="GS1004" s="25"/>
      <c r="GT1004" s="25"/>
      <c r="GU1004" s="25"/>
      <c r="GV1004" s="25"/>
      <c r="GW1004" s="25"/>
      <c r="GX1004" s="25"/>
      <c r="GY1004" s="25"/>
      <c r="GZ1004" s="25"/>
      <c r="HA1004" s="25"/>
      <c r="HB1004" s="25"/>
      <c r="HC1004" s="25"/>
      <c r="HD1004" s="25"/>
      <c r="HE1004" s="25"/>
      <c r="HF1004" s="25"/>
      <c r="HG1004" s="25"/>
      <c r="HH1004" s="25"/>
      <c r="HI1004" s="25"/>
      <c r="HJ1004" s="25"/>
      <c r="HK1004" s="25"/>
      <c r="HL1004" s="25"/>
    </row>
    <row r="1005" spans="1:220" ht="15.75" customHeight="1" x14ac:dyDescent="0.2">
      <c r="A1005" s="25"/>
      <c r="B1005" s="29"/>
      <c r="C1005" s="26"/>
      <c r="D1005" s="29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  <c r="CA1005" s="25"/>
      <c r="CB1005" s="25"/>
      <c r="CC1005" s="25"/>
      <c r="CD1005" s="25"/>
      <c r="CE1005" s="25"/>
      <c r="CF1005" s="25"/>
      <c r="CG1005" s="25"/>
      <c r="CH1005" s="25"/>
      <c r="CI1005" s="25"/>
      <c r="CJ1005" s="25"/>
      <c r="CK1005" s="25"/>
      <c r="CL1005" s="25"/>
      <c r="CM1005" s="25"/>
      <c r="CN1005" s="25"/>
      <c r="CO1005" s="25"/>
      <c r="CP1005" s="25"/>
      <c r="CQ1005" s="25"/>
      <c r="CR1005" s="25"/>
      <c r="CS1005" s="25"/>
      <c r="CT1005" s="25"/>
      <c r="CU1005" s="25"/>
      <c r="CV1005" s="25"/>
      <c r="CW1005" s="25"/>
      <c r="CX1005" s="25"/>
      <c r="CY1005" s="25"/>
      <c r="CZ1005" s="25"/>
      <c r="DA1005" s="25"/>
      <c r="DB1005" s="25"/>
      <c r="DC1005" s="25"/>
      <c r="DD1005" s="25"/>
      <c r="DE1005" s="25"/>
      <c r="DF1005" s="25"/>
      <c r="DG1005" s="25"/>
      <c r="DH1005" s="25"/>
      <c r="DI1005" s="25"/>
      <c r="DJ1005" s="25"/>
      <c r="DK1005" s="25"/>
      <c r="DL1005" s="25"/>
      <c r="DM1005" s="25"/>
      <c r="DN1005" s="25"/>
      <c r="DO1005" s="25"/>
      <c r="DP1005" s="25"/>
      <c r="DQ1005" s="25"/>
      <c r="DR1005" s="25"/>
      <c r="DS1005" s="25"/>
      <c r="DT1005" s="25"/>
      <c r="DU1005" s="25"/>
      <c r="DV1005" s="25"/>
      <c r="DW1005" s="25"/>
      <c r="DX1005" s="25"/>
      <c r="DY1005" s="25"/>
      <c r="DZ1005" s="25"/>
      <c r="EA1005" s="25"/>
      <c r="EB1005" s="25"/>
      <c r="EC1005" s="25"/>
      <c r="ED1005" s="25"/>
      <c r="EE1005" s="25"/>
      <c r="EF1005" s="25"/>
      <c r="EG1005" s="25"/>
      <c r="EH1005" s="25"/>
      <c r="EI1005" s="25"/>
      <c r="EJ1005" s="25"/>
      <c r="EK1005" s="25"/>
      <c r="EL1005" s="25"/>
      <c r="EM1005" s="25"/>
      <c r="EN1005" s="25"/>
      <c r="EO1005" s="25"/>
      <c r="EP1005" s="25"/>
      <c r="EQ1005" s="25"/>
      <c r="ER1005" s="25"/>
      <c r="ES1005" s="25"/>
      <c r="ET1005" s="25"/>
      <c r="EU1005" s="25"/>
      <c r="EV1005" s="25"/>
      <c r="EW1005" s="25"/>
      <c r="EX1005" s="25"/>
      <c r="EY1005" s="25"/>
      <c r="EZ1005" s="25"/>
      <c r="FA1005" s="25"/>
      <c r="FB1005" s="25"/>
      <c r="FC1005" s="25"/>
      <c r="FD1005" s="25"/>
      <c r="FE1005" s="25"/>
      <c r="FF1005" s="25"/>
      <c r="FG1005" s="25"/>
      <c r="FH1005" s="25"/>
      <c r="FI1005" s="25"/>
      <c r="FJ1005" s="25"/>
      <c r="FK1005" s="25"/>
      <c r="FL1005" s="25"/>
      <c r="FM1005" s="25"/>
      <c r="FN1005" s="25"/>
      <c r="FO1005" s="25"/>
      <c r="FP1005" s="25"/>
      <c r="FQ1005" s="25"/>
      <c r="FR1005" s="25"/>
      <c r="FS1005" s="25"/>
      <c r="FT1005" s="25"/>
      <c r="FU1005" s="25"/>
      <c r="FV1005" s="28"/>
      <c r="FW1005" s="27"/>
      <c r="FX1005" s="27"/>
      <c r="FY1005" s="25"/>
      <c r="FZ1005" s="25"/>
      <c r="GA1005" s="25"/>
      <c r="GB1005" s="25"/>
      <c r="GC1005" s="25"/>
      <c r="GD1005" s="25"/>
      <c r="GE1005" s="25"/>
      <c r="GF1005" s="25"/>
      <c r="GG1005" s="25"/>
      <c r="GH1005" s="25"/>
      <c r="GI1005" s="25"/>
      <c r="GJ1005" s="25"/>
      <c r="GK1005" s="25"/>
      <c r="GL1005" s="25"/>
      <c r="GM1005" s="25"/>
      <c r="GN1005" s="25"/>
      <c r="GO1005" s="25"/>
      <c r="GP1005" s="25"/>
      <c r="GQ1005" s="25"/>
      <c r="GR1005" s="25"/>
      <c r="GS1005" s="25"/>
      <c r="GT1005" s="25"/>
      <c r="GU1005" s="25"/>
      <c r="GV1005" s="25"/>
      <c r="GW1005" s="25"/>
      <c r="GX1005" s="25"/>
      <c r="GY1005" s="25"/>
      <c r="GZ1005" s="25"/>
      <c r="HA1005" s="25"/>
      <c r="HB1005" s="25"/>
      <c r="HC1005" s="25"/>
      <c r="HD1005" s="25"/>
      <c r="HE1005" s="25"/>
      <c r="HF1005" s="25"/>
      <c r="HG1005" s="25"/>
      <c r="HH1005" s="25"/>
      <c r="HI1005" s="25"/>
      <c r="HJ1005" s="25"/>
      <c r="HK1005" s="25"/>
      <c r="HL1005" s="25"/>
    </row>
    <row r="1006" spans="1:220" ht="15.75" customHeight="1" x14ac:dyDescent="0.2">
      <c r="A1006" s="25"/>
      <c r="B1006" s="29"/>
      <c r="C1006" s="26"/>
      <c r="D1006" s="29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  <c r="CA1006" s="25"/>
      <c r="CB1006" s="25"/>
      <c r="CC1006" s="25"/>
      <c r="CD1006" s="25"/>
      <c r="CE1006" s="25"/>
      <c r="CF1006" s="25"/>
      <c r="CG1006" s="25"/>
      <c r="CH1006" s="25"/>
      <c r="CI1006" s="25"/>
      <c r="CJ1006" s="25"/>
      <c r="CK1006" s="25"/>
      <c r="CL1006" s="25"/>
      <c r="CM1006" s="25"/>
      <c r="CN1006" s="25"/>
      <c r="CO1006" s="25"/>
      <c r="CP1006" s="25"/>
      <c r="CQ1006" s="25"/>
      <c r="CR1006" s="25"/>
      <c r="CS1006" s="25"/>
      <c r="CT1006" s="25"/>
      <c r="CU1006" s="25"/>
      <c r="CV1006" s="25"/>
      <c r="CW1006" s="25"/>
      <c r="CX1006" s="25"/>
      <c r="CY1006" s="25"/>
      <c r="CZ1006" s="25"/>
      <c r="DA1006" s="25"/>
      <c r="DB1006" s="25"/>
      <c r="DC1006" s="25"/>
      <c r="DD1006" s="25"/>
      <c r="DE1006" s="25"/>
      <c r="DF1006" s="25"/>
      <c r="DG1006" s="25"/>
      <c r="DH1006" s="25"/>
      <c r="DI1006" s="25"/>
      <c r="DJ1006" s="25"/>
      <c r="DK1006" s="25"/>
      <c r="DL1006" s="25"/>
      <c r="DM1006" s="25"/>
      <c r="DN1006" s="25"/>
      <c r="DO1006" s="25"/>
      <c r="DP1006" s="25"/>
      <c r="DQ1006" s="25"/>
      <c r="DR1006" s="25"/>
      <c r="DS1006" s="25"/>
      <c r="DT1006" s="25"/>
      <c r="DU1006" s="25"/>
      <c r="DV1006" s="25"/>
      <c r="DW1006" s="25"/>
      <c r="DX1006" s="25"/>
      <c r="DY1006" s="25"/>
      <c r="DZ1006" s="25"/>
      <c r="EA1006" s="25"/>
      <c r="EB1006" s="25"/>
      <c r="EC1006" s="25"/>
      <c r="ED1006" s="25"/>
      <c r="EE1006" s="25"/>
      <c r="EF1006" s="25"/>
      <c r="EG1006" s="25"/>
      <c r="EH1006" s="25"/>
      <c r="EI1006" s="25"/>
      <c r="EJ1006" s="25"/>
      <c r="EK1006" s="25"/>
      <c r="EL1006" s="25"/>
      <c r="EM1006" s="25"/>
      <c r="EN1006" s="25"/>
      <c r="EO1006" s="25"/>
      <c r="EP1006" s="25"/>
      <c r="EQ1006" s="25"/>
      <c r="ER1006" s="25"/>
      <c r="ES1006" s="25"/>
      <c r="ET1006" s="25"/>
      <c r="EU1006" s="25"/>
      <c r="EV1006" s="25"/>
      <c r="EW1006" s="25"/>
      <c r="EX1006" s="25"/>
      <c r="EY1006" s="25"/>
      <c r="EZ1006" s="25"/>
      <c r="FA1006" s="25"/>
      <c r="FB1006" s="25"/>
      <c r="FC1006" s="25"/>
      <c r="FD1006" s="25"/>
      <c r="FE1006" s="25"/>
      <c r="FF1006" s="25"/>
      <c r="FG1006" s="25"/>
      <c r="FH1006" s="25"/>
      <c r="FI1006" s="25"/>
      <c r="FJ1006" s="25"/>
      <c r="FK1006" s="25"/>
      <c r="FL1006" s="25"/>
      <c r="FM1006" s="25"/>
      <c r="FN1006" s="25"/>
      <c r="FO1006" s="25"/>
      <c r="FP1006" s="25"/>
      <c r="FQ1006" s="25"/>
      <c r="FR1006" s="25"/>
      <c r="FS1006" s="25"/>
      <c r="FT1006" s="25"/>
      <c r="FU1006" s="25"/>
      <c r="FV1006" s="28"/>
      <c r="FW1006" s="27"/>
      <c r="FX1006" s="27"/>
      <c r="FY1006" s="25"/>
      <c r="FZ1006" s="25"/>
      <c r="GA1006" s="25"/>
      <c r="GB1006" s="25"/>
      <c r="GC1006" s="25"/>
      <c r="GD1006" s="25"/>
      <c r="GE1006" s="25"/>
      <c r="GF1006" s="25"/>
      <c r="GG1006" s="25"/>
      <c r="GH1006" s="25"/>
      <c r="GI1006" s="25"/>
      <c r="GJ1006" s="25"/>
      <c r="GK1006" s="25"/>
      <c r="GL1006" s="25"/>
      <c r="GM1006" s="25"/>
      <c r="GN1006" s="25"/>
      <c r="GO1006" s="25"/>
      <c r="GP1006" s="25"/>
      <c r="GQ1006" s="25"/>
      <c r="GR1006" s="25"/>
      <c r="GS1006" s="25"/>
      <c r="GT1006" s="25"/>
      <c r="GU1006" s="25"/>
      <c r="GV1006" s="25"/>
      <c r="GW1006" s="25"/>
      <c r="GX1006" s="25"/>
      <c r="GY1006" s="25"/>
      <c r="GZ1006" s="25"/>
      <c r="HA1006" s="25"/>
      <c r="HB1006" s="25"/>
      <c r="HC1006" s="25"/>
      <c r="HD1006" s="25"/>
      <c r="HE1006" s="25"/>
      <c r="HF1006" s="25"/>
      <c r="HG1006" s="25"/>
      <c r="HH1006" s="25"/>
      <c r="HI1006" s="25"/>
      <c r="HJ1006" s="25"/>
      <c r="HK1006" s="25"/>
      <c r="HL1006" s="25"/>
    </row>
    <row r="1007" spans="1:220" ht="15.75" customHeight="1" x14ac:dyDescent="0.2">
      <c r="A1007" s="25"/>
      <c r="B1007" s="29"/>
      <c r="C1007" s="26"/>
      <c r="D1007" s="29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  <c r="CM1007" s="25"/>
      <c r="CN1007" s="25"/>
      <c r="CO1007" s="25"/>
      <c r="CP1007" s="25"/>
      <c r="CQ1007" s="25"/>
      <c r="CR1007" s="25"/>
      <c r="CS1007" s="25"/>
      <c r="CT1007" s="25"/>
      <c r="CU1007" s="25"/>
      <c r="CV1007" s="25"/>
      <c r="CW1007" s="25"/>
      <c r="CX1007" s="25"/>
      <c r="CY1007" s="25"/>
      <c r="CZ1007" s="25"/>
      <c r="DA1007" s="25"/>
      <c r="DB1007" s="25"/>
      <c r="DC1007" s="25"/>
      <c r="DD1007" s="25"/>
      <c r="DE1007" s="25"/>
      <c r="DF1007" s="25"/>
      <c r="DG1007" s="25"/>
      <c r="DH1007" s="25"/>
      <c r="DI1007" s="25"/>
      <c r="DJ1007" s="25"/>
      <c r="DK1007" s="25"/>
      <c r="DL1007" s="25"/>
      <c r="DM1007" s="25"/>
      <c r="DN1007" s="25"/>
      <c r="DO1007" s="25"/>
      <c r="DP1007" s="25"/>
      <c r="DQ1007" s="25"/>
      <c r="DR1007" s="25"/>
      <c r="DS1007" s="25"/>
      <c r="DT1007" s="25"/>
      <c r="DU1007" s="25"/>
      <c r="DV1007" s="25"/>
      <c r="DW1007" s="25"/>
      <c r="DX1007" s="25"/>
      <c r="DY1007" s="25"/>
      <c r="DZ1007" s="25"/>
      <c r="EA1007" s="25"/>
      <c r="EB1007" s="25"/>
      <c r="EC1007" s="25"/>
      <c r="ED1007" s="25"/>
      <c r="EE1007" s="25"/>
      <c r="EF1007" s="25"/>
      <c r="EG1007" s="25"/>
      <c r="EH1007" s="25"/>
      <c r="EI1007" s="25"/>
      <c r="EJ1007" s="25"/>
      <c r="EK1007" s="25"/>
      <c r="EL1007" s="25"/>
      <c r="EM1007" s="25"/>
      <c r="EN1007" s="25"/>
      <c r="EO1007" s="25"/>
      <c r="EP1007" s="25"/>
      <c r="EQ1007" s="25"/>
      <c r="ER1007" s="25"/>
      <c r="ES1007" s="25"/>
      <c r="ET1007" s="25"/>
      <c r="EU1007" s="25"/>
      <c r="EV1007" s="25"/>
      <c r="EW1007" s="25"/>
      <c r="EX1007" s="25"/>
      <c r="EY1007" s="25"/>
      <c r="EZ1007" s="25"/>
      <c r="FA1007" s="25"/>
      <c r="FB1007" s="25"/>
      <c r="FC1007" s="25"/>
      <c r="FD1007" s="25"/>
      <c r="FE1007" s="25"/>
      <c r="FF1007" s="25"/>
      <c r="FG1007" s="25"/>
      <c r="FH1007" s="25"/>
      <c r="FI1007" s="25"/>
      <c r="FJ1007" s="25"/>
      <c r="FK1007" s="25"/>
      <c r="FL1007" s="25"/>
      <c r="FM1007" s="25"/>
      <c r="FN1007" s="25"/>
      <c r="FO1007" s="25"/>
      <c r="FP1007" s="25"/>
      <c r="FQ1007" s="25"/>
      <c r="FR1007" s="25"/>
      <c r="FS1007" s="25"/>
      <c r="FT1007" s="25"/>
      <c r="FU1007" s="25"/>
      <c r="FV1007" s="28"/>
      <c r="FW1007" s="27"/>
      <c r="FX1007" s="27"/>
      <c r="FY1007" s="25"/>
      <c r="FZ1007" s="25"/>
      <c r="GA1007" s="25"/>
      <c r="GB1007" s="25"/>
      <c r="GC1007" s="25"/>
      <c r="GD1007" s="25"/>
      <c r="GE1007" s="25"/>
      <c r="GF1007" s="25"/>
      <c r="GG1007" s="25"/>
      <c r="GH1007" s="25"/>
      <c r="GI1007" s="25"/>
      <c r="GJ1007" s="25"/>
      <c r="GK1007" s="25"/>
      <c r="GL1007" s="25"/>
      <c r="GM1007" s="25"/>
      <c r="GN1007" s="25"/>
      <c r="GO1007" s="25"/>
      <c r="GP1007" s="25"/>
      <c r="GQ1007" s="25"/>
      <c r="GR1007" s="25"/>
      <c r="GS1007" s="25"/>
      <c r="GT1007" s="25"/>
      <c r="GU1007" s="25"/>
      <c r="GV1007" s="25"/>
      <c r="GW1007" s="25"/>
      <c r="GX1007" s="25"/>
      <c r="GY1007" s="25"/>
      <c r="GZ1007" s="25"/>
      <c r="HA1007" s="25"/>
      <c r="HB1007" s="25"/>
      <c r="HC1007" s="25"/>
      <c r="HD1007" s="25"/>
      <c r="HE1007" s="25"/>
      <c r="HF1007" s="25"/>
      <c r="HG1007" s="25"/>
      <c r="HH1007" s="25"/>
      <c r="HI1007" s="25"/>
      <c r="HJ1007" s="25"/>
      <c r="HK1007" s="25"/>
      <c r="HL1007" s="25"/>
    </row>
    <row r="1008" spans="1:220" ht="15.75" customHeight="1" x14ac:dyDescent="0.2">
      <c r="A1008" s="25"/>
      <c r="B1008" s="29"/>
      <c r="C1008" s="26"/>
      <c r="D1008" s="29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  <c r="CA1008" s="25"/>
      <c r="CB1008" s="25"/>
      <c r="CC1008" s="25"/>
      <c r="CD1008" s="25"/>
      <c r="CE1008" s="25"/>
      <c r="CF1008" s="25"/>
      <c r="CG1008" s="25"/>
      <c r="CH1008" s="25"/>
      <c r="CI1008" s="25"/>
      <c r="CJ1008" s="25"/>
      <c r="CK1008" s="25"/>
      <c r="CL1008" s="25"/>
      <c r="CM1008" s="25"/>
      <c r="CN1008" s="25"/>
      <c r="CO1008" s="25"/>
      <c r="CP1008" s="25"/>
      <c r="CQ1008" s="25"/>
      <c r="CR1008" s="25"/>
      <c r="CS1008" s="25"/>
      <c r="CT1008" s="25"/>
      <c r="CU1008" s="25"/>
      <c r="CV1008" s="25"/>
      <c r="CW1008" s="25"/>
      <c r="CX1008" s="25"/>
      <c r="CY1008" s="25"/>
      <c r="CZ1008" s="25"/>
      <c r="DA1008" s="25"/>
      <c r="DB1008" s="25"/>
      <c r="DC1008" s="25"/>
      <c r="DD1008" s="25"/>
      <c r="DE1008" s="25"/>
      <c r="DF1008" s="25"/>
      <c r="DG1008" s="25"/>
      <c r="DH1008" s="25"/>
      <c r="DI1008" s="25"/>
      <c r="DJ1008" s="25"/>
      <c r="DK1008" s="25"/>
      <c r="DL1008" s="25"/>
      <c r="DM1008" s="25"/>
      <c r="DN1008" s="25"/>
      <c r="DO1008" s="25"/>
      <c r="DP1008" s="25"/>
      <c r="DQ1008" s="25"/>
      <c r="DR1008" s="25"/>
      <c r="DS1008" s="25"/>
      <c r="DT1008" s="25"/>
      <c r="DU1008" s="25"/>
      <c r="DV1008" s="25"/>
      <c r="DW1008" s="25"/>
      <c r="DX1008" s="25"/>
      <c r="DY1008" s="25"/>
      <c r="DZ1008" s="25"/>
      <c r="EA1008" s="25"/>
      <c r="EB1008" s="25"/>
      <c r="EC1008" s="25"/>
      <c r="ED1008" s="25"/>
      <c r="EE1008" s="25"/>
      <c r="EF1008" s="25"/>
      <c r="EG1008" s="25"/>
      <c r="EH1008" s="25"/>
      <c r="EI1008" s="25"/>
      <c r="EJ1008" s="25"/>
      <c r="EK1008" s="25"/>
      <c r="EL1008" s="25"/>
      <c r="EM1008" s="25"/>
      <c r="EN1008" s="25"/>
      <c r="EO1008" s="25"/>
      <c r="EP1008" s="25"/>
      <c r="EQ1008" s="25"/>
      <c r="ER1008" s="25"/>
      <c r="ES1008" s="25"/>
      <c r="ET1008" s="25"/>
      <c r="EU1008" s="25"/>
      <c r="EV1008" s="25"/>
      <c r="EW1008" s="25"/>
      <c r="EX1008" s="25"/>
      <c r="EY1008" s="25"/>
      <c r="EZ1008" s="25"/>
      <c r="FA1008" s="25"/>
      <c r="FB1008" s="25"/>
      <c r="FC1008" s="25"/>
      <c r="FD1008" s="25"/>
      <c r="FE1008" s="25"/>
      <c r="FF1008" s="25"/>
      <c r="FG1008" s="25"/>
      <c r="FH1008" s="25"/>
      <c r="FI1008" s="25"/>
      <c r="FJ1008" s="25"/>
      <c r="FK1008" s="25"/>
      <c r="FL1008" s="25"/>
      <c r="FM1008" s="25"/>
      <c r="FN1008" s="25"/>
      <c r="FO1008" s="25"/>
      <c r="FP1008" s="25"/>
      <c r="FQ1008" s="25"/>
      <c r="FR1008" s="25"/>
      <c r="FS1008" s="25"/>
      <c r="FT1008" s="25"/>
      <c r="FU1008" s="25"/>
      <c r="FV1008" s="28"/>
      <c r="FW1008" s="27"/>
      <c r="FX1008" s="27"/>
      <c r="FY1008" s="25"/>
      <c r="FZ1008" s="25"/>
      <c r="GA1008" s="25"/>
      <c r="GB1008" s="25"/>
      <c r="GC1008" s="25"/>
      <c r="GD1008" s="25"/>
      <c r="GE1008" s="25"/>
      <c r="GF1008" s="25"/>
      <c r="GG1008" s="25"/>
      <c r="GH1008" s="25"/>
      <c r="GI1008" s="25"/>
      <c r="GJ1008" s="25"/>
      <c r="GK1008" s="25"/>
      <c r="GL1008" s="25"/>
      <c r="GM1008" s="25"/>
      <c r="GN1008" s="25"/>
      <c r="GO1008" s="25"/>
      <c r="GP1008" s="25"/>
      <c r="GQ1008" s="25"/>
      <c r="GR1008" s="25"/>
      <c r="GS1008" s="25"/>
      <c r="GT1008" s="25"/>
      <c r="GU1008" s="25"/>
      <c r="GV1008" s="25"/>
      <c r="GW1008" s="25"/>
      <c r="GX1008" s="25"/>
      <c r="GY1008" s="25"/>
      <c r="GZ1008" s="25"/>
      <c r="HA1008" s="25"/>
      <c r="HB1008" s="25"/>
      <c r="HC1008" s="25"/>
      <c r="HD1008" s="25"/>
      <c r="HE1008" s="25"/>
      <c r="HF1008" s="25"/>
      <c r="HG1008" s="25"/>
      <c r="HH1008" s="25"/>
      <c r="HI1008" s="25"/>
      <c r="HJ1008" s="25"/>
      <c r="HK1008" s="25"/>
      <c r="HL1008" s="25"/>
    </row>
    <row r="1009" spans="1:220" ht="15.75" customHeight="1" x14ac:dyDescent="0.2">
      <c r="A1009" s="25"/>
      <c r="B1009" s="29"/>
      <c r="C1009" s="26"/>
      <c r="D1009" s="29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  <c r="CA1009" s="25"/>
      <c r="CB1009" s="25"/>
      <c r="CC1009" s="25"/>
      <c r="CD1009" s="25"/>
      <c r="CE1009" s="25"/>
      <c r="CF1009" s="25"/>
      <c r="CG1009" s="25"/>
      <c r="CH1009" s="25"/>
      <c r="CI1009" s="25"/>
      <c r="CJ1009" s="25"/>
      <c r="CK1009" s="25"/>
      <c r="CL1009" s="25"/>
      <c r="CM1009" s="25"/>
      <c r="CN1009" s="25"/>
      <c r="CO1009" s="25"/>
      <c r="CP1009" s="25"/>
      <c r="CQ1009" s="25"/>
      <c r="CR1009" s="25"/>
      <c r="CS1009" s="25"/>
      <c r="CT1009" s="25"/>
      <c r="CU1009" s="25"/>
      <c r="CV1009" s="25"/>
      <c r="CW1009" s="25"/>
      <c r="CX1009" s="25"/>
      <c r="CY1009" s="25"/>
      <c r="CZ1009" s="25"/>
      <c r="DA1009" s="25"/>
      <c r="DB1009" s="25"/>
      <c r="DC1009" s="25"/>
      <c r="DD1009" s="25"/>
      <c r="DE1009" s="25"/>
      <c r="DF1009" s="25"/>
      <c r="DG1009" s="25"/>
      <c r="DH1009" s="25"/>
      <c r="DI1009" s="25"/>
      <c r="DJ1009" s="25"/>
      <c r="DK1009" s="25"/>
      <c r="DL1009" s="25"/>
      <c r="DM1009" s="25"/>
      <c r="DN1009" s="25"/>
      <c r="DO1009" s="25"/>
      <c r="DP1009" s="25"/>
      <c r="DQ1009" s="25"/>
      <c r="DR1009" s="25"/>
      <c r="DS1009" s="25"/>
      <c r="DT1009" s="25"/>
      <c r="DU1009" s="25"/>
      <c r="DV1009" s="25"/>
      <c r="DW1009" s="25"/>
      <c r="DX1009" s="25"/>
      <c r="DY1009" s="25"/>
      <c r="DZ1009" s="25"/>
      <c r="EA1009" s="25"/>
      <c r="EB1009" s="25"/>
      <c r="EC1009" s="25"/>
      <c r="ED1009" s="25"/>
      <c r="EE1009" s="25"/>
      <c r="EF1009" s="25"/>
      <c r="EG1009" s="25"/>
      <c r="EH1009" s="25"/>
      <c r="EI1009" s="25"/>
      <c r="EJ1009" s="25"/>
      <c r="EK1009" s="25"/>
      <c r="EL1009" s="25"/>
      <c r="EM1009" s="25"/>
      <c r="EN1009" s="25"/>
      <c r="EO1009" s="25"/>
      <c r="EP1009" s="25"/>
      <c r="EQ1009" s="25"/>
      <c r="ER1009" s="25"/>
      <c r="ES1009" s="25"/>
      <c r="ET1009" s="25"/>
      <c r="EU1009" s="25"/>
      <c r="EV1009" s="25"/>
      <c r="EW1009" s="25"/>
      <c r="EX1009" s="25"/>
      <c r="EY1009" s="25"/>
      <c r="EZ1009" s="25"/>
      <c r="FA1009" s="25"/>
      <c r="FB1009" s="25"/>
      <c r="FC1009" s="25"/>
      <c r="FD1009" s="25"/>
      <c r="FE1009" s="25"/>
      <c r="FF1009" s="25"/>
      <c r="FG1009" s="25"/>
      <c r="FH1009" s="25"/>
      <c r="FI1009" s="25"/>
      <c r="FJ1009" s="25"/>
      <c r="FK1009" s="25"/>
      <c r="FL1009" s="25"/>
      <c r="FM1009" s="25"/>
      <c r="FN1009" s="25"/>
      <c r="FO1009" s="25"/>
      <c r="FP1009" s="25"/>
      <c r="FQ1009" s="25"/>
      <c r="FR1009" s="25"/>
      <c r="FS1009" s="25"/>
      <c r="FT1009" s="25"/>
      <c r="FU1009" s="25"/>
      <c r="FV1009" s="28"/>
      <c r="FW1009" s="27"/>
      <c r="FX1009" s="27"/>
      <c r="FY1009" s="25"/>
      <c r="FZ1009" s="25"/>
      <c r="GA1009" s="25"/>
      <c r="GB1009" s="25"/>
      <c r="GC1009" s="25"/>
      <c r="GD1009" s="25"/>
      <c r="GE1009" s="25"/>
      <c r="GF1009" s="25"/>
      <c r="GG1009" s="25"/>
      <c r="GH1009" s="25"/>
      <c r="GI1009" s="25"/>
      <c r="GJ1009" s="25"/>
      <c r="GK1009" s="25"/>
      <c r="GL1009" s="25"/>
      <c r="GM1009" s="25"/>
      <c r="GN1009" s="25"/>
      <c r="GO1009" s="25"/>
      <c r="GP1009" s="25"/>
      <c r="GQ1009" s="25"/>
      <c r="GR1009" s="25"/>
      <c r="GS1009" s="25"/>
      <c r="GT1009" s="25"/>
      <c r="GU1009" s="25"/>
      <c r="GV1009" s="25"/>
      <c r="GW1009" s="25"/>
      <c r="GX1009" s="25"/>
      <c r="GY1009" s="25"/>
      <c r="GZ1009" s="25"/>
      <c r="HA1009" s="25"/>
      <c r="HB1009" s="25"/>
      <c r="HC1009" s="25"/>
      <c r="HD1009" s="25"/>
      <c r="HE1009" s="25"/>
      <c r="HF1009" s="25"/>
      <c r="HG1009" s="25"/>
      <c r="HH1009" s="25"/>
      <c r="HI1009" s="25"/>
      <c r="HJ1009" s="25"/>
      <c r="HK1009" s="25"/>
      <c r="HL1009" s="25"/>
    </row>
    <row r="1010" spans="1:220" ht="15.75" customHeight="1" x14ac:dyDescent="0.2">
      <c r="A1010" s="25"/>
      <c r="B1010" s="29"/>
      <c r="C1010" s="26"/>
      <c r="D1010" s="29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  <c r="CA1010" s="25"/>
      <c r="CB1010" s="25"/>
      <c r="CC1010" s="25"/>
      <c r="CD1010" s="25"/>
      <c r="CE1010" s="25"/>
      <c r="CF1010" s="25"/>
      <c r="CG1010" s="25"/>
      <c r="CH1010" s="25"/>
      <c r="CI1010" s="25"/>
      <c r="CJ1010" s="25"/>
      <c r="CK1010" s="25"/>
      <c r="CL1010" s="25"/>
      <c r="CM1010" s="25"/>
      <c r="CN1010" s="25"/>
      <c r="CO1010" s="25"/>
      <c r="CP1010" s="25"/>
      <c r="CQ1010" s="25"/>
      <c r="CR1010" s="25"/>
      <c r="CS1010" s="25"/>
      <c r="CT1010" s="25"/>
      <c r="CU1010" s="25"/>
      <c r="CV1010" s="25"/>
      <c r="CW1010" s="25"/>
      <c r="CX1010" s="25"/>
      <c r="CY1010" s="25"/>
      <c r="CZ1010" s="25"/>
      <c r="DA1010" s="25"/>
      <c r="DB1010" s="25"/>
      <c r="DC1010" s="25"/>
      <c r="DD1010" s="25"/>
      <c r="DE1010" s="25"/>
      <c r="DF1010" s="25"/>
      <c r="DG1010" s="25"/>
      <c r="DH1010" s="25"/>
      <c r="DI1010" s="25"/>
      <c r="DJ1010" s="25"/>
      <c r="DK1010" s="25"/>
      <c r="DL1010" s="25"/>
      <c r="DM1010" s="25"/>
      <c r="DN1010" s="25"/>
      <c r="DO1010" s="25"/>
      <c r="DP1010" s="25"/>
      <c r="DQ1010" s="25"/>
      <c r="DR1010" s="25"/>
      <c r="DS1010" s="25"/>
      <c r="DT1010" s="25"/>
      <c r="DU1010" s="25"/>
      <c r="DV1010" s="25"/>
      <c r="DW1010" s="25"/>
      <c r="DX1010" s="25"/>
      <c r="DY1010" s="25"/>
      <c r="DZ1010" s="25"/>
      <c r="EA1010" s="25"/>
      <c r="EB1010" s="25"/>
      <c r="EC1010" s="25"/>
      <c r="ED1010" s="25"/>
      <c r="EE1010" s="25"/>
      <c r="EF1010" s="25"/>
      <c r="EG1010" s="25"/>
      <c r="EH1010" s="25"/>
      <c r="EI1010" s="25"/>
      <c r="EJ1010" s="25"/>
      <c r="EK1010" s="25"/>
      <c r="EL1010" s="25"/>
      <c r="EM1010" s="25"/>
      <c r="EN1010" s="25"/>
      <c r="EO1010" s="25"/>
      <c r="EP1010" s="25"/>
      <c r="EQ1010" s="25"/>
      <c r="ER1010" s="25"/>
      <c r="ES1010" s="25"/>
      <c r="ET1010" s="25"/>
      <c r="EU1010" s="25"/>
      <c r="EV1010" s="25"/>
      <c r="EW1010" s="25"/>
      <c r="EX1010" s="25"/>
      <c r="EY1010" s="25"/>
      <c r="EZ1010" s="25"/>
      <c r="FA1010" s="25"/>
      <c r="FB1010" s="25"/>
      <c r="FC1010" s="25"/>
      <c r="FD1010" s="25"/>
      <c r="FE1010" s="25"/>
      <c r="FF1010" s="25"/>
      <c r="FG1010" s="25"/>
      <c r="FH1010" s="25"/>
      <c r="FI1010" s="25"/>
      <c r="FJ1010" s="25"/>
      <c r="FK1010" s="25"/>
      <c r="FL1010" s="25"/>
      <c r="FM1010" s="25"/>
      <c r="FN1010" s="25"/>
      <c r="FO1010" s="25"/>
      <c r="FP1010" s="25"/>
      <c r="FQ1010" s="25"/>
      <c r="FR1010" s="25"/>
      <c r="FS1010" s="25"/>
      <c r="FT1010" s="25"/>
      <c r="FU1010" s="25"/>
      <c r="FV1010" s="28"/>
      <c r="FW1010" s="27"/>
      <c r="FX1010" s="27"/>
      <c r="FY1010" s="25"/>
      <c r="FZ1010" s="25"/>
      <c r="GA1010" s="25"/>
      <c r="GB1010" s="25"/>
      <c r="GC1010" s="25"/>
      <c r="GD1010" s="25"/>
      <c r="GE1010" s="25"/>
      <c r="GF1010" s="25"/>
      <c r="GG1010" s="25"/>
      <c r="GH1010" s="25"/>
      <c r="GI1010" s="25"/>
      <c r="GJ1010" s="25"/>
      <c r="GK1010" s="25"/>
      <c r="GL1010" s="25"/>
      <c r="GM1010" s="25"/>
      <c r="GN1010" s="25"/>
      <c r="GO1010" s="25"/>
      <c r="GP1010" s="25"/>
      <c r="GQ1010" s="25"/>
      <c r="GR1010" s="25"/>
      <c r="GS1010" s="25"/>
      <c r="GT1010" s="25"/>
      <c r="GU1010" s="25"/>
      <c r="GV1010" s="25"/>
      <c r="GW1010" s="25"/>
      <c r="GX1010" s="25"/>
      <c r="GY1010" s="25"/>
      <c r="GZ1010" s="25"/>
      <c r="HA1010" s="25"/>
      <c r="HB1010" s="25"/>
      <c r="HC1010" s="25"/>
      <c r="HD1010" s="25"/>
      <c r="HE1010" s="25"/>
      <c r="HF1010" s="25"/>
      <c r="HG1010" s="25"/>
      <c r="HH1010" s="25"/>
      <c r="HI1010" s="25"/>
      <c r="HJ1010" s="25"/>
      <c r="HK1010" s="25"/>
      <c r="HL1010" s="25"/>
    </row>
    <row r="1011" spans="1:220" ht="15.75" customHeight="1" x14ac:dyDescent="0.2">
      <c r="A1011" s="25"/>
      <c r="B1011" s="29"/>
      <c r="C1011" s="26"/>
      <c r="D1011" s="29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  <c r="BN1011" s="25"/>
      <c r="BO1011" s="25"/>
      <c r="BP1011" s="25"/>
      <c r="BQ1011" s="25"/>
      <c r="BR1011" s="25"/>
      <c r="BS1011" s="25"/>
      <c r="BT1011" s="25"/>
      <c r="BU1011" s="25"/>
      <c r="BV1011" s="25"/>
      <c r="BW1011" s="25"/>
      <c r="BX1011" s="25"/>
      <c r="BY1011" s="25"/>
      <c r="BZ1011" s="25"/>
      <c r="CA1011" s="25"/>
      <c r="CB1011" s="25"/>
      <c r="CC1011" s="25"/>
      <c r="CD1011" s="25"/>
      <c r="CE1011" s="25"/>
      <c r="CF1011" s="25"/>
      <c r="CG1011" s="25"/>
      <c r="CH1011" s="25"/>
      <c r="CI1011" s="25"/>
      <c r="CJ1011" s="25"/>
      <c r="CK1011" s="25"/>
      <c r="CL1011" s="25"/>
      <c r="CM1011" s="25"/>
      <c r="CN1011" s="25"/>
      <c r="CO1011" s="25"/>
      <c r="CP1011" s="25"/>
      <c r="CQ1011" s="25"/>
      <c r="CR1011" s="25"/>
      <c r="CS1011" s="25"/>
      <c r="CT1011" s="25"/>
      <c r="CU1011" s="25"/>
      <c r="CV1011" s="25"/>
      <c r="CW1011" s="25"/>
      <c r="CX1011" s="25"/>
      <c r="CY1011" s="25"/>
      <c r="CZ1011" s="25"/>
      <c r="DA1011" s="25"/>
      <c r="DB1011" s="25"/>
      <c r="DC1011" s="25"/>
      <c r="DD1011" s="25"/>
      <c r="DE1011" s="25"/>
      <c r="DF1011" s="25"/>
      <c r="DG1011" s="25"/>
      <c r="DH1011" s="25"/>
      <c r="DI1011" s="25"/>
      <c r="DJ1011" s="25"/>
      <c r="DK1011" s="25"/>
      <c r="DL1011" s="25"/>
      <c r="DM1011" s="25"/>
      <c r="DN1011" s="25"/>
      <c r="DO1011" s="25"/>
      <c r="DP1011" s="25"/>
      <c r="DQ1011" s="25"/>
      <c r="DR1011" s="25"/>
      <c r="DS1011" s="25"/>
      <c r="DT1011" s="25"/>
      <c r="DU1011" s="25"/>
      <c r="DV1011" s="25"/>
      <c r="DW1011" s="25"/>
      <c r="DX1011" s="25"/>
      <c r="DY1011" s="25"/>
      <c r="DZ1011" s="25"/>
      <c r="EA1011" s="25"/>
      <c r="EB1011" s="25"/>
      <c r="EC1011" s="25"/>
      <c r="ED1011" s="25"/>
      <c r="EE1011" s="25"/>
      <c r="EF1011" s="25"/>
      <c r="EG1011" s="25"/>
      <c r="EH1011" s="25"/>
      <c r="EI1011" s="25"/>
      <c r="EJ1011" s="25"/>
      <c r="EK1011" s="25"/>
      <c r="EL1011" s="25"/>
      <c r="EM1011" s="25"/>
      <c r="EN1011" s="25"/>
      <c r="EO1011" s="25"/>
      <c r="EP1011" s="25"/>
      <c r="EQ1011" s="25"/>
      <c r="ER1011" s="25"/>
      <c r="ES1011" s="25"/>
      <c r="ET1011" s="25"/>
      <c r="EU1011" s="25"/>
      <c r="EV1011" s="25"/>
      <c r="EW1011" s="25"/>
      <c r="EX1011" s="25"/>
      <c r="EY1011" s="25"/>
      <c r="EZ1011" s="25"/>
      <c r="FA1011" s="25"/>
      <c r="FB1011" s="25"/>
      <c r="FC1011" s="25"/>
      <c r="FD1011" s="25"/>
      <c r="FE1011" s="25"/>
      <c r="FF1011" s="25"/>
      <c r="FG1011" s="25"/>
      <c r="FH1011" s="25"/>
      <c r="FI1011" s="25"/>
      <c r="FJ1011" s="25"/>
      <c r="FK1011" s="25"/>
      <c r="FL1011" s="25"/>
      <c r="FM1011" s="25"/>
      <c r="FN1011" s="25"/>
      <c r="FO1011" s="25"/>
      <c r="FP1011" s="25"/>
      <c r="FQ1011" s="25"/>
      <c r="FR1011" s="25"/>
      <c r="FS1011" s="25"/>
      <c r="FT1011" s="25"/>
      <c r="FU1011" s="25"/>
      <c r="FV1011" s="28"/>
      <c r="FW1011" s="27"/>
      <c r="FX1011" s="27"/>
      <c r="FY1011" s="25"/>
      <c r="FZ1011" s="25"/>
      <c r="GA1011" s="25"/>
      <c r="GB1011" s="25"/>
      <c r="GC1011" s="25"/>
      <c r="GD1011" s="25"/>
      <c r="GE1011" s="25"/>
      <c r="GF1011" s="25"/>
      <c r="GG1011" s="25"/>
      <c r="GH1011" s="25"/>
      <c r="GI1011" s="25"/>
      <c r="GJ1011" s="25"/>
      <c r="GK1011" s="25"/>
      <c r="GL1011" s="25"/>
      <c r="GM1011" s="25"/>
      <c r="GN1011" s="25"/>
      <c r="GO1011" s="25"/>
      <c r="GP1011" s="25"/>
      <c r="GQ1011" s="25"/>
      <c r="GR1011" s="25"/>
      <c r="GS1011" s="25"/>
      <c r="GT1011" s="25"/>
      <c r="GU1011" s="25"/>
      <c r="GV1011" s="25"/>
      <c r="GW1011" s="25"/>
      <c r="GX1011" s="25"/>
      <c r="GY1011" s="25"/>
      <c r="GZ1011" s="25"/>
      <c r="HA1011" s="25"/>
      <c r="HB1011" s="25"/>
      <c r="HC1011" s="25"/>
      <c r="HD1011" s="25"/>
      <c r="HE1011" s="25"/>
      <c r="HF1011" s="25"/>
      <c r="HG1011" s="25"/>
      <c r="HH1011" s="25"/>
      <c r="HI1011" s="25"/>
      <c r="HJ1011" s="25"/>
      <c r="HK1011" s="25"/>
      <c r="HL1011" s="25"/>
    </row>
    <row r="1012" spans="1:220" ht="15.75" customHeight="1" x14ac:dyDescent="0.2">
      <c r="A1012" s="25"/>
      <c r="B1012" s="29"/>
      <c r="C1012" s="26"/>
      <c r="D1012" s="29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  <c r="CA1012" s="25"/>
      <c r="CB1012" s="25"/>
      <c r="CC1012" s="25"/>
      <c r="CD1012" s="25"/>
      <c r="CE1012" s="25"/>
      <c r="CF1012" s="25"/>
      <c r="CG1012" s="25"/>
      <c r="CH1012" s="25"/>
      <c r="CI1012" s="25"/>
      <c r="CJ1012" s="25"/>
      <c r="CK1012" s="25"/>
      <c r="CL1012" s="25"/>
      <c r="CM1012" s="25"/>
      <c r="CN1012" s="25"/>
      <c r="CO1012" s="25"/>
      <c r="CP1012" s="25"/>
      <c r="CQ1012" s="25"/>
      <c r="CR1012" s="25"/>
      <c r="CS1012" s="25"/>
      <c r="CT1012" s="25"/>
      <c r="CU1012" s="25"/>
      <c r="CV1012" s="25"/>
      <c r="CW1012" s="25"/>
      <c r="CX1012" s="25"/>
      <c r="CY1012" s="25"/>
      <c r="CZ1012" s="25"/>
      <c r="DA1012" s="25"/>
      <c r="DB1012" s="25"/>
      <c r="DC1012" s="25"/>
      <c r="DD1012" s="25"/>
      <c r="DE1012" s="25"/>
      <c r="DF1012" s="25"/>
      <c r="DG1012" s="25"/>
      <c r="DH1012" s="25"/>
      <c r="DI1012" s="25"/>
      <c r="DJ1012" s="25"/>
      <c r="DK1012" s="25"/>
      <c r="DL1012" s="25"/>
      <c r="DM1012" s="25"/>
      <c r="DN1012" s="25"/>
      <c r="DO1012" s="25"/>
      <c r="DP1012" s="25"/>
      <c r="DQ1012" s="25"/>
      <c r="DR1012" s="25"/>
      <c r="DS1012" s="25"/>
      <c r="DT1012" s="25"/>
      <c r="DU1012" s="25"/>
      <c r="DV1012" s="25"/>
      <c r="DW1012" s="25"/>
      <c r="DX1012" s="25"/>
      <c r="DY1012" s="25"/>
      <c r="DZ1012" s="25"/>
      <c r="EA1012" s="25"/>
      <c r="EB1012" s="25"/>
      <c r="EC1012" s="25"/>
      <c r="ED1012" s="25"/>
      <c r="EE1012" s="25"/>
      <c r="EF1012" s="25"/>
      <c r="EG1012" s="25"/>
      <c r="EH1012" s="25"/>
      <c r="EI1012" s="25"/>
      <c r="EJ1012" s="25"/>
      <c r="EK1012" s="25"/>
      <c r="EL1012" s="25"/>
      <c r="EM1012" s="25"/>
      <c r="EN1012" s="25"/>
      <c r="EO1012" s="25"/>
      <c r="EP1012" s="25"/>
      <c r="EQ1012" s="25"/>
      <c r="ER1012" s="25"/>
      <c r="ES1012" s="25"/>
      <c r="ET1012" s="25"/>
      <c r="EU1012" s="25"/>
      <c r="EV1012" s="25"/>
      <c r="EW1012" s="25"/>
      <c r="EX1012" s="25"/>
      <c r="EY1012" s="25"/>
      <c r="EZ1012" s="25"/>
      <c r="FA1012" s="25"/>
      <c r="FB1012" s="25"/>
      <c r="FC1012" s="25"/>
      <c r="FD1012" s="25"/>
      <c r="FE1012" s="25"/>
      <c r="FF1012" s="25"/>
      <c r="FG1012" s="25"/>
      <c r="FH1012" s="25"/>
      <c r="FI1012" s="25"/>
      <c r="FJ1012" s="25"/>
      <c r="FK1012" s="25"/>
      <c r="FL1012" s="25"/>
      <c r="FM1012" s="25"/>
      <c r="FN1012" s="25"/>
      <c r="FO1012" s="25"/>
      <c r="FP1012" s="25"/>
      <c r="FQ1012" s="25"/>
      <c r="FR1012" s="25"/>
      <c r="FS1012" s="25"/>
      <c r="FT1012" s="25"/>
      <c r="FU1012" s="25"/>
      <c r="FV1012" s="28"/>
      <c r="FW1012" s="27"/>
      <c r="FX1012" s="27"/>
      <c r="FY1012" s="25"/>
      <c r="FZ1012" s="25"/>
      <c r="GA1012" s="25"/>
      <c r="GB1012" s="25"/>
      <c r="GC1012" s="25"/>
      <c r="GD1012" s="25"/>
      <c r="GE1012" s="25"/>
      <c r="GF1012" s="25"/>
      <c r="GG1012" s="25"/>
      <c r="GH1012" s="25"/>
      <c r="GI1012" s="25"/>
      <c r="GJ1012" s="25"/>
      <c r="GK1012" s="25"/>
      <c r="GL1012" s="25"/>
      <c r="GM1012" s="25"/>
      <c r="GN1012" s="25"/>
      <c r="GO1012" s="25"/>
      <c r="GP1012" s="25"/>
      <c r="GQ1012" s="25"/>
      <c r="GR1012" s="25"/>
      <c r="GS1012" s="25"/>
      <c r="GT1012" s="25"/>
      <c r="GU1012" s="25"/>
      <c r="GV1012" s="25"/>
      <c r="GW1012" s="25"/>
      <c r="GX1012" s="25"/>
      <c r="GY1012" s="25"/>
      <c r="GZ1012" s="25"/>
      <c r="HA1012" s="25"/>
      <c r="HB1012" s="25"/>
      <c r="HC1012" s="25"/>
      <c r="HD1012" s="25"/>
      <c r="HE1012" s="25"/>
      <c r="HF1012" s="25"/>
      <c r="HG1012" s="25"/>
      <c r="HH1012" s="25"/>
      <c r="HI1012" s="25"/>
      <c r="HJ1012" s="25"/>
      <c r="HK1012" s="25"/>
      <c r="HL1012" s="25"/>
    </row>
    <row r="1013" spans="1:220" ht="15.75" customHeight="1" x14ac:dyDescent="0.2">
      <c r="A1013" s="25"/>
      <c r="B1013" s="29"/>
      <c r="C1013" s="26"/>
      <c r="D1013" s="29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  <c r="BN1013" s="25"/>
      <c r="BO1013" s="25"/>
      <c r="BP1013" s="25"/>
      <c r="BQ1013" s="25"/>
      <c r="BR1013" s="25"/>
      <c r="BS1013" s="25"/>
      <c r="BT1013" s="25"/>
      <c r="BU1013" s="25"/>
      <c r="BV1013" s="25"/>
      <c r="BW1013" s="25"/>
      <c r="BX1013" s="25"/>
      <c r="BY1013" s="25"/>
      <c r="BZ1013" s="25"/>
      <c r="CA1013" s="25"/>
      <c r="CB1013" s="25"/>
      <c r="CC1013" s="25"/>
      <c r="CD1013" s="25"/>
      <c r="CE1013" s="25"/>
      <c r="CF1013" s="25"/>
      <c r="CG1013" s="25"/>
      <c r="CH1013" s="25"/>
      <c r="CI1013" s="25"/>
      <c r="CJ1013" s="25"/>
      <c r="CK1013" s="25"/>
      <c r="CL1013" s="25"/>
      <c r="CM1013" s="25"/>
      <c r="CN1013" s="25"/>
      <c r="CO1013" s="25"/>
      <c r="CP1013" s="25"/>
      <c r="CQ1013" s="25"/>
      <c r="CR1013" s="25"/>
      <c r="CS1013" s="25"/>
      <c r="CT1013" s="25"/>
      <c r="CU1013" s="25"/>
      <c r="CV1013" s="25"/>
      <c r="CW1013" s="25"/>
      <c r="CX1013" s="25"/>
      <c r="CY1013" s="25"/>
      <c r="CZ1013" s="25"/>
      <c r="DA1013" s="25"/>
      <c r="DB1013" s="25"/>
      <c r="DC1013" s="25"/>
      <c r="DD1013" s="25"/>
      <c r="DE1013" s="25"/>
      <c r="DF1013" s="25"/>
      <c r="DG1013" s="25"/>
      <c r="DH1013" s="25"/>
      <c r="DI1013" s="25"/>
      <c r="DJ1013" s="25"/>
      <c r="DK1013" s="25"/>
      <c r="DL1013" s="25"/>
      <c r="DM1013" s="25"/>
      <c r="DN1013" s="25"/>
      <c r="DO1013" s="25"/>
      <c r="DP1013" s="25"/>
      <c r="DQ1013" s="25"/>
      <c r="DR1013" s="25"/>
      <c r="DS1013" s="25"/>
      <c r="DT1013" s="25"/>
      <c r="DU1013" s="25"/>
      <c r="DV1013" s="25"/>
      <c r="DW1013" s="25"/>
      <c r="DX1013" s="25"/>
      <c r="DY1013" s="25"/>
      <c r="DZ1013" s="25"/>
      <c r="EA1013" s="25"/>
      <c r="EB1013" s="25"/>
      <c r="EC1013" s="25"/>
      <c r="ED1013" s="25"/>
      <c r="EE1013" s="25"/>
      <c r="EF1013" s="25"/>
      <c r="EG1013" s="25"/>
      <c r="EH1013" s="25"/>
      <c r="EI1013" s="25"/>
      <c r="EJ1013" s="25"/>
      <c r="EK1013" s="25"/>
      <c r="EL1013" s="25"/>
      <c r="EM1013" s="25"/>
      <c r="EN1013" s="25"/>
      <c r="EO1013" s="25"/>
      <c r="EP1013" s="25"/>
      <c r="EQ1013" s="25"/>
      <c r="ER1013" s="25"/>
      <c r="ES1013" s="25"/>
      <c r="ET1013" s="25"/>
      <c r="EU1013" s="25"/>
      <c r="EV1013" s="25"/>
      <c r="EW1013" s="25"/>
      <c r="EX1013" s="25"/>
      <c r="EY1013" s="25"/>
      <c r="EZ1013" s="25"/>
      <c r="FA1013" s="25"/>
      <c r="FB1013" s="25"/>
      <c r="FC1013" s="25"/>
      <c r="FD1013" s="25"/>
      <c r="FE1013" s="25"/>
      <c r="FF1013" s="25"/>
      <c r="FG1013" s="25"/>
      <c r="FH1013" s="25"/>
      <c r="FI1013" s="25"/>
      <c r="FJ1013" s="25"/>
      <c r="FK1013" s="25"/>
      <c r="FL1013" s="25"/>
      <c r="FM1013" s="25"/>
      <c r="FN1013" s="25"/>
      <c r="FO1013" s="25"/>
      <c r="FP1013" s="25"/>
      <c r="FQ1013" s="25"/>
      <c r="FR1013" s="25"/>
      <c r="FS1013" s="25"/>
      <c r="FT1013" s="25"/>
      <c r="FU1013" s="25"/>
      <c r="FV1013" s="28"/>
      <c r="FW1013" s="27"/>
      <c r="FX1013" s="27"/>
      <c r="FY1013" s="25"/>
      <c r="FZ1013" s="25"/>
      <c r="GA1013" s="25"/>
      <c r="GB1013" s="25"/>
      <c r="GC1013" s="25"/>
      <c r="GD1013" s="25"/>
      <c r="GE1013" s="25"/>
      <c r="GF1013" s="25"/>
      <c r="GG1013" s="25"/>
      <c r="GH1013" s="25"/>
      <c r="GI1013" s="25"/>
      <c r="GJ1013" s="25"/>
      <c r="GK1013" s="25"/>
      <c r="GL1013" s="25"/>
      <c r="GM1013" s="25"/>
      <c r="GN1013" s="25"/>
      <c r="GO1013" s="25"/>
      <c r="GP1013" s="25"/>
      <c r="GQ1013" s="25"/>
      <c r="GR1013" s="25"/>
      <c r="GS1013" s="25"/>
      <c r="GT1013" s="25"/>
      <c r="GU1013" s="25"/>
      <c r="GV1013" s="25"/>
      <c r="GW1013" s="25"/>
      <c r="GX1013" s="25"/>
      <c r="GY1013" s="25"/>
      <c r="GZ1013" s="25"/>
      <c r="HA1013" s="25"/>
      <c r="HB1013" s="25"/>
      <c r="HC1013" s="25"/>
      <c r="HD1013" s="25"/>
      <c r="HE1013" s="25"/>
      <c r="HF1013" s="25"/>
      <c r="HG1013" s="25"/>
      <c r="HH1013" s="25"/>
      <c r="HI1013" s="25"/>
      <c r="HJ1013" s="25"/>
      <c r="HK1013" s="25"/>
      <c r="HL1013" s="25"/>
    </row>
    <row r="1014" spans="1:220" ht="15.75" customHeight="1" x14ac:dyDescent="0.2">
      <c r="A1014" s="25"/>
      <c r="B1014" s="29"/>
      <c r="C1014" s="26"/>
      <c r="D1014" s="29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  <c r="CA1014" s="25"/>
      <c r="CB1014" s="25"/>
      <c r="CC1014" s="25"/>
      <c r="CD1014" s="25"/>
      <c r="CE1014" s="25"/>
      <c r="CF1014" s="25"/>
      <c r="CG1014" s="25"/>
      <c r="CH1014" s="25"/>
      <c r="CI1014" s="25"/>
      <c r="CJ1014" s="25"/>
      <c r="CK1014" s="25"/>
      <c r="CL1014" s="25"/>
      <c r="CM1014" s="25"/>
      <c r="CN1014" s="25"/>
      <c r="CO1014" s="25"/>
      <c r="CP1014" s="25"/>
      <c r="CQ1014" s="25"/>
      <c r="CR1014" s="25"/>
      <c r="CS1014" s="25"/>
      <c r="CT1014" s="25"/>
      <c r="CU1014" s="25"/>
      <c r="CV1014" s="25"/>
      <c r="CW1014" s="25"/>
      <c r="CX1014" s="25"/>
      <c r="CY1014" s="25"/>
      <c r="CZ1014" s="25"/>
      <c r="DA1014" s="25"/>
      <c r="DB1014" s="25"/>
      <c r="DC1014" s="25"/>
      <c r="DD1014" s="25"/>
      <c r="DE1014" s="25"/>
      <c r="DF1014" s="25"/>
      <c r="DG1014" s="25"/>
      <c r="DH1014" s="25"/>
      <c r="DI1014" s="25"/>
      <c r="DJ1014" s="25"/>
      <c r="DK1014" s="25"/>
      <c r="DL1014" s="25"/>
      <c r="DM1014" s="25"/>
      <c r="DN1014" s="25"/>
      <c r="DO1014" s="25"/>
      <c r="DP1014" s="25"/>
      <c r="DQ1014" s="25"/>
      <c r="DR1014" s="25"/>
      <c r="DS1014" s="25"/>
      <c r="DT1014" s="25"/>
      <c r="DU1014" s="25"/>
      <c r="DV1014" s="25"/>
      <c r="DW1014" s="25"/>
      <c r="DX1014" s="25"/>
      <c r="DY1014" s="25"/>
      <c r="DZ1014" s="25"/>
      <c r="EA1014" s="25"/>
      <c r="EB1014" s="25"/>
      <c r="EC1014" s="25"/>
      <c r="ED1014" s="25"/>
      <c r="EE1014" s="25"/>
      <c r="EF1014" s="25"/>
      <c r="EG1014" s="25"/>
      <c r="EH1014" s="25"/>
      <c r="EI1014" s="25"/>
      <c r="EJ1014" s="25"/>
      <c r="EK1014" s="25"/>
      <c r="EL1014" s="25"/>
      <c r="EM1014" s="25"/>
      <c r="EN1014" s="25"/>
      <c r="EO1014" s="25"/>
      <c r="EP1014" s="25"/>
      <c r="EQ1014" s="25"/>
      <c r="ER1014" s="25"/>
      <c r="ES1014" s="25"/>
      <c r="ET1014" s="25"/>
      <c r="EU1014" s="25"/>
      <c r="EV1014" s="25"/>
      <c r="EW1014" s="25"/>
      <c r="EX1014" s="25"/>
      <c r="EY1014" s="25"/>
      <c r="EZ1014" s="25"/>
      <c r="FA1014" s="25"/>
      <c r="FB1014" s="25"/>
      <c r="FC1014" s="25"/>
      <c r="FD1014" s="25"/>
      <c r="FE1014" s="25"/>
      <c r="FF1014" s="25"/>
      <c r="FG1014" s="25"/>
      <c r="FH1014" s="25"/>
      <c r="FI1014" s="25"/>
      <c r="FJ1014" s="25"/>
      <c r="FK1014" s="25"/>
      <c r="FL1014" s="25"/>
      <c r="FM1014" s="25"/>
      <c r="FN1014" s="25"/>
      <c r="FO1014" s="25"/>
      <c r="FP1014" s="25"/>
      <c r="FQ1014" s="25"/>
      <c r="FR1014" s="25"/>
      <c r="FS1014" s="25"/>
      <c r="FT1014" s="25"/>
      <c r="FU1014" s="25"/>
      <c r="FV1014" s="28"/>
      <c r="FW1014" s="27"/>
      <c r="FX1014" s="27"/>
      <c r="FY1014" s="25"/>
      <c r="FZ1014" s="25"/>
      <c r="GA1014" s="25"/>
      <c r="GB1014" s="25"/>
      <c r="GC1014" s="25"/>
      <c r="GD1014" s="25"/>
      <c r="GE1014" s="25"/>
      <c r="GF1014" s="25"/>
      <c r="GG1014" s="25"/>
      <c r="GH1014" s="25"/>
      <c r="GI1014" s="25"/>
      <c r="GJ1014" s="25"/>
      <c r="GK1014" s="25"/>
      <c r="GL1014" s="25"/>
      <c r="GM1014" s="25"/>
      <c r="GN1014" s="25"/>
      <c r="GO1014" s="25"/>
      <c r="GP1014" s="25"/>
      <c r="GQ1014" s="25"/>
      <c r="GR1014" s="25"/>
      <c r="GS1014" s="25"/>
      <c r="GT1014" s="25"/>
      <c r="GU1014" s="25"/>
      <c r="GV1014" s="25"/>
      <c r="GW1014" s="25"/>
      <c r="GX1014" s="25"/>
      <c r="GY1014" s="25"/>
      <c r="GZ1014" s="25"/>
      <c r="HA1014" s="25"/>
      <c r="HB1014" s="25"/>
      <c r="HC1014" s="25"/>
      <c r="HD1014" s="25"/>
      <c r="HE1014" s="25"/>
      <c r="HF1014" s="25"/>
      <c r="HG1014" s="25"/>
      <c r="HH1014" s="25"/>
      <c r="HI1014" s="25"/>
      <c r="HJ1014" s="25"/>
      <c r="HK1014" s="25"/>
      <c r="HL1014" s="25"/>
    </row>
    <row r="1015" spans="1:220" ht="15.75" customHeight="1" x14ac:dyDescent="0.2">
      <c r="A1015" s="25"/>
      <c r="B1015" s="29"/>
      <c r="C1015" s="26"/>
      <c r="D1015" s="29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  <c r="CA1015" s="25"/>
      <c r="CB1015" s="25"/>
      <c r="CC1015" s="25"/>
      <c r="CD1015" s="25"/>
      <c r="CE1015" s="25"/>
      <c r="CF1015" s="25"/>
      <c r="CG1015" s="25"/>
      <c r="CH1015" s="25"/>
      <c r="CI1015" s="25"/>
      <c r="CJ1015" s="25"/>
      <c r="CK1015" s="25"/>
      <c r="CL1015" s="25"/>
      <c r="CM1015" s="25"/>
      <c r="CN1015" s="25"/>
      <c r="CO1015" s="25"/>
      <c r="CP1015" s="25"/>
      <c r="CQ1015" s="25"/>
      <c r="CR1015" s="25"/>
      <c r="CS1015" s="25"/>
      <c r="CT1015" s="25"/>
      <c r="CU1015" s="25"/>
      <c r="CV1015" s="25"/>
      <c r="CW1015" s="25"/>
      <c r="CX1015" s="25"/>
      <c r="CY1015" s="25"/>
      <c r="CZ1015" s="25"/>
      <c r="DA1015" s="25"/>
      <c r="DB1015" s="25"/>
      <c r="DC1015" s="25"/>
      <c r="DD1015" s="25"/>
      <c r="DE1015" s="25"/>
      <c r="DF1015" s="25"/>
      <c r="DG1015" s="25"/>
      <c r="DH1015" s="25"/>
      <c r="DI1015" s="25"/>
      <c r="DJ1015" s="25"/>
      <c r="DK1015" s="25"/>
      <c r="DL1015" s="25"/>
      <c r="DM1015" s="25"/>
      <c r="DN1015" s="25"/>
      <c r="DO1015" s="25"/>
      <c r="DP1015" s="25"/>
      <c r="DQ1015" s="25"/>
      <c r="DR1015" s="25"/>
      <c r="DS1015" s="25"/>
      <c r="DT1015" s="25"/>
      <c r="DU1015" s="25"/>
      <c r="DV1015" s="25"/>
      <c r="DW1015" s="25"/>
      <c r="DX1015" s="25"/>
      <c r="DY1015" s="25"/>
      <c r="DZ1015" s="25"/>
      <c r="EA1015" s="25"/>
      <c r="EB1015" s="25"/>
      <c r="EC1015" s="25"/>
      <c r="ED1015" s="25"/>
      <c r="EE1015" s="25"/>
      <c r="EF1015" s="25"/>
      <c r="EG1015" s="25"/>
      <c r="EH1015" s="25"/>
      <c r="EI1015" s="25"/>
      <c r="EJ1015" s="25"/>
      <c r="EK1015" s="25"/>
      <c r="EL1015" s="25"/>
      <c r="EM1015" s="25"/>
      <c r="EN1015" s="25"/>
      <c r="EO1015" s="25"/>
      <c r="EP1015" s="25"/>
      <c r="EQ1015" s="25"/>
      <c r="ER1015" s="25"/>
      <c r="ES1015" s="25"/>
      <c r="ET1015" s="25"/>
      <c r="EU1015" s="25"/>
      <c r="EV1015" s="25"/>
      <c r="EW1015" s="25"/>
      <c r="EX1015" s="25"/>
      <c r="EY1015" s="25"/>
      <c r="EZ1015" s="25"/>
      <c r="FA1015" s="25"/>
      <c r="FB1015" s="25"/>
      <c r="FC1015" s="25"/>
      <c r="FD1015" s="25"/>
      <c r="FE1015" s="25"/>
      <c r="FF1015" s="25"/>
      <c r="FG1015" s="25"/>
      <c r="FH1015" s="25"/>
      <c r="FI1015" s="25"/>
      <c r="FJ1015" s="25"/>
      <c r="FK1015" s="25"/>
      <c r="FL1015" s="25"/>
      <c r="FM1015" s="25"/>
      <c r="FN1015" s="25"/>
      <c r="FO1015" s="25"/>
      <c r="FP1015" s="25"/>
      <c r="FQ1015" s="25"/>
      <c r="FR1015" s="25"/>
      <c r="FS1015" s="25"/>
      <c r="FT1015" s="25"/>
      <c r="FU1015" s="25"/>
      <c r="FV1015" s="28"/>
      <c r="FW1015" s="27"/>
      <c r="FX1015" s="27"/>
      <c r="FY1015" s="25"/>
      <c r="FZ1015" s="25"/>
      <c r="GA1015" s="25"/>
      <c r="GB1015" s="25"/>
      <c r="GC1015" s="25"/>
      <c r="GD1015" s="25"/>
      <c r="GE1015" s="25"/>
      <c r="GF1015" s="25"/>
      <c r="GG1015" s="25"/>
      <c r="GH1015" s="25"/>
      <c r="GI1015" s="25"/>
      <c r="GJ1015" s="25"/>
      <c r="GK1015" s="25"/>
      <c r="GL1015" s="25"/>
      <c r="GM1015" s="25"/>
      <c r="GN1015" s="25"/>
      <c r="GO1015" s="25"/>
      <c r="GP1015" s="25"/>
      <c r="GQ1015" s="25"/>
      <c r="GR1015" s="25"/>
      <c r="GS1015" s="25"/>
      <c r="GT1015" s="25"/>
      <c r="GU1015" s="25"/>
      <c r="GV1015" s="25"/>
      <c r="GW1015" s="25"/>
      <c r="GX1015" s="25"/>
      <c r="GY1015" s="25"/>
      <c r="GZ1015" s="25"/>
      <c r="HA1015" s="25"/>
      <c r="HB1015" s="25"/>
      <c r="HC1015" s="25"/>
      <c r="HD1015" s="25"/>
      <c r="HE1015" s="25"/>
      <c r="HF1015" s="25"/>
      <c r="HG1015" s="25"/>
      <c r="HH1015" s="25"/>
      <c r="HI1015" s="25"/>
      <c r="HJ1015" s="25"/>
      <c r="HK1015" s="25"/>
      <c r="HL1015" s="25"/>
    </row>
    <row r="1016" spans="1:220" ht="15.75" customHeight="1" x14ac:dyDescent="0.2">
      <c r="A1016" s="25"/>
      <c r="B1016" s="29"/>
      <c r="C1016" s="26"/>
      <c r="D1016" s="29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  <c r="CA1016" s="25"/>
      <c r="CB1016" s="25"/>
      <c r="CC1016" s="25"/>
      <c r="CD1016" s="25"/>
      <c r="CE1016" s="25"/>
      <c r="CF1016" s="25"/>
      <c r="CG1016" s="25"/>
      <c r="CH1016" s="25"/>
      <c r="CI1016" s="25"/>
      <c r="CJ1016" s="25"/>
      <c r="CK1016" s="25"/>
      <c r="CL1016" s="25"/>
      <c r="CM1016" s="25"/>
      <c r="CN1016" s="25"/>
      <c r="CO1016" s="25"/>
      <c r="CP1016" s="25"/>
      <c r="CQ1016" s="25"/>
      <c r="CR1016" s="25"/>
      <c r="CS1016" s="25"/>
      <c r="CT1016" s="25"/>
      <c r="CU1016" s="25"/>
      <c r="CV1016" s="25"/>
      <c r="CW1016" s="25"/>
      <c r="CX1016" s="25"/>
      <c r="CY1016" s="25"/>
      <c r="CZ1016" s="25"/>
      <c r="DA1016" s="25"/>
      <c r="DB1016" s="25"/>
      <c r="DC1016" s="25"/>
      <c r="DD1016" s="25"/>
      <c r="DE1016" s="25"/>
      <c r="DF1016" s="25"/>
      <c r="DG1016" s="25"/>
      <c r="DH1016" s="25"/>
      <c r="DI1016" s="25"/>
      <c r="DJ1016" s="25"/>
      <c r="DK1016" s="25"/>
      <c r="DL1016" s="25"/>
      <c r="DM1016" s="25"/>
      <c r="DN1016" s="25"/>
      <c r="DO1016" s="25"/>
      <c r="DP1016" s="25"/>
      <c r="DQ1016" s="25"/>
      <c r="DR1016" s="25"/>
      <c r="DS1016" s="25"/>
      <c r="DT1016" s="25"/>
      <c r="DU1016" s="25"/>
      <c r="DV1016" s="25"/>
      <c r="DW1016" s="25"/>
      <c r="DX1016" s="25"/>
      <c r="DY1016" s="25"/>
      <c r="DZ1016" s="25"/>
      <c r="EA1016" s="25"/>
      <c r="EB1016" s="25"/>
      <c r="EC1016" s="25"/>
      <c r="ED1016" s="25"/>
      <c r="EE1016" s="25"/>
      <c r="EF1016" s="25"/>
      <c r="EG1016" s="25"/>
      <c r="EH1016" s="25"/>
      <c r="EI1016" s="25"/>
      <c r="EJ1016" s="25"/>
      <c r="EK1016" s="25"/>
      <c r="EL1016" s="25"/>
      <c r="EM1016" s="25"/>
      <c r="EN1016" s="25"/>
      <c r="EO1016" s="25"/>
      <c r="EP1016" s="25"/>
      <c r="EQ1016" s="25"/>
      <c r="ER1016" s="25"/>
      <c r="ES1016" s="25"/>
      <c r="ET1016" s="25"/>
      <c r="EU1016" s="25"/>
      <c r="EV1016" s="25"/>
      <c r="EW1016" s="25"/>
      <c r="EX1016" s="25"/>
      <c r="EY1016" s="25"/>
      <c r="EZ1016" s="25"/>
      <c r="FA1016" s="25"/>
      <c r="FB1016" s="25"/>
      <c r="FC1016" s="25"/>
      <c r="FD1016" s="25"/>
      <c r="FE1016" s="25"/>
      <c r="FF1016" s="25"/>
      <c r="FG1016" s="25"/>
      <c r="FH1016" s="25"/>
      <c r="FI1016" s="25"/>
      <c r="FJ1016" s="25"/>
      <c r="FK1016" s="25"/>
      <c r="FL1016" s="25"/>
      <c r="FM1016" s="25"/>
      <c r="FN1016" s="25"/>
      <c r="FO1016" s="25"/>
      <c r="FP1016" s="25"/>
      <c r="FQ1016" s="25"/>
      <c r="FR1016" s="25"/>
      <c r="FS1016" s="25"/>
      <c r="FT1016" s="25"/>
      <c r="FU1016" s="25"/>
      <c r="FV1016" s="28"/>
      <c r="FW1016" s="27"/>
      <c r="FX1016" s="27"/>
      <c r="FY1016" s="25"/>
      <c r="FZ1016" s="25"/>
      <c r="GA1016" s="25"/>
      <c r="GB1016" s="25"/>
      <c r="GC1016" s="25"/>
      <c r="GD1016" s="25"/>
      <c r="GE1016" s="25"/>
      <c r="GF1016" s="25"/>
      <c r="GG1016" s="25"/>
      <c r="GH1016" s="25"/>
      <c r="GI1016" s="25"/>
      <c r="GJ1016" s="25"/>
      <c r="GK1016" s="25"/>
      <c r="GL1016" s="25"/>
      <c r="GM1016" s="25"/>
      <c r="GN1016" s="25"/>
      <c r="GO1016" s="25"/>
      <c r="GP1016" s="25"/>
      <c r="GQ1016" s="25"/>
      <c r="GR1016" s="25"/>
      <c r="GS1016" s="25"/>
      <c r="GT1016" s="25"/>
      <c r="GU1016" s="25"/>
      <c r="GV1016" s="25"/>
      <c r="GW1016" s="25"/>
      <c r="GX1016" s="25"/>
      <c r="GY1016" s="25"/>
      <c r="GZ1016" s="25"/>
      <c r="HA1016" s="25"/>
      <c r="HB1016" s="25"/>
      <c r="HC1016" s="25"/>
      <c r="HD1016" s="25"/>
      <c r="HE1016" s="25"/>
      <c r="HF1016" s="25"/>
      <c r="HG1016" s="25"/>
      <c r="HH1016" s="25"/>
      <c r="HI1016" s="25"/>
      <c r="HJ1016" s="25"/>
      <c r="HK1016" s="25"/>
      <c r="HL1016" s="25"/>
    </row>
    <row r="1017" spans="1:220" ht="15.75" customHeight="1" x14ac:dyDescent="0.2">
      <c r="A1017" s="25"/>
      <c r="B1017" s="29"/>
      <c r="C1017" s="26"/>
      <c r="D1017" s="29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  <c r="CA1017" s="25"/>
      <c r="CB1017" s="25"/>
      <c r="CC1017" s="25"/>
      <c r="CD1017" s="25"/>
      <c r="CE1017" s="25"/>
      <c r="CF1017" s="25"/>
      <c r="CG1017" s="25"/>
      <c r="CH1017" s="25"/>
      <c r="CI1017" s="25"/>
      <c r="CJ1017" s="25"/>
      <c r="CK1017" s="25"/>
      <c r="CL1017" s="25"/>
      <c r="CM1017" s="25"/>
      <c r="CN1017" s="25"/>
      <c r="CO1017" s="25"/>
      <c r="CP1017" s="25"/>
      <c r="CQ1017" s="25"/>
      <c r="CR1017" s="25"/>
      <c r="CS1017" s="25"/>
      <c r="CT1017" s="25"/>
      <c r="CU1017" s="25"/>
      <c r="CV1017" s="25"/>
      <c r="CW1017" s="25"/>
      <c r="CX1017" s="25"/>
      <c r="CY1017" s="25"/>
      <c r="CZ1017" s="25"/>
      <c r="DA1017" s="25"/>
      <c r="DB1017" s="25"/>
      <c r="DC1017" s="25"/>
      <c r="DD1017" s="25"/>
      <c r="DE1017" s="25"/>
      <c r="DF1017" s="25"/>
      <c r="DG1017" s="25"/>
      <c r="DH1017" s="25"/>
      <c r="DI1017" s="25"/>
      <c r="DJ1017" s="25"/>
      <c r="DK1017" s="25"/>
      <c r="DL1017" s="25"/>
      <c r="DM1017" s="25"/>
      <c r="DN1017" s="25"/>
      <c r="DO1017" s="25"/>
      <c r="DP1017" s="25"/>
      <c r="DQ1017" s="25"/>
      <c r="DR1017" s="25"/>
      <c r="DS1017" s="25"/>
      <c r="DT1017" s="25"/>
      <c r="DU1017" s="25"/>
      <c r="DV1017" s="25"/>
      <c r="DW1017" s="25"/>
      <c r="DX1017" s="25"/>
      <c r="DY1017" s="25"/>
      <c r="DZ1017" s="25"/>
      <c r="EA1017" s="25"/>
      <c r="EB1017" s="25"/>
      <c r="EC1017" s="25"/>
      <c r="ED1017" s="25"/>
      <c r="EE1017" s="25"/>
      <c r="EF1017" s="25"/>
      <c r="EG1017" s="25"/>
      <c r="EH1017" s="25"/>
      <c r="EI1017" s="25"/>
      <c r="EJ1017" s="25"/>
      <c r="EK1017" s="25"/>
      <c r="EL1017" s="25"/>
      <c r="EM1017" s="25"/>
      <c r="EN1017" s="25"/>
      <c r="EO1017" s="25"/>
      <c r="EP1017" s="25"/>
      <c r="EQ1017" s="25"/>
      <c r="ER1017" s="25"/>
      <c r="ES1017" s="25"/>
      <c r="ET1017" s="25"/>
      <c r="EU1017" s="25"/>
      <c r="EV1017" s="25"/>
      <c r="EW1017" s="25"/>
      <c r="EX1017" s="25"/>
      <c r="EY1017" s="25"/>
      <c r="EZ1017" s="25"/>
      <c r="FA1017" s="25"/>
      <c r="FB1017" s="25"/>
      <c r="FC1017" s="25"/>
      <c r="FD1017" s="25"/>
      <c r="FE1017" s="25"/>
      <c r="FF1017" s="25"/>
      <c r="FG1017" s="25"/>
      <c r="FH1017" s="25"/>
      <c r="FI1017" s="25"/>
      <c r="FJ1017" s="25"/>
      <c r="FK1017" s="25"/>
      <c r="FL1017" s="25"/>
      <c r="FM1017" s="25"/>
      <c r="FN1017" s="25"/>
      <c r="FO1017" s="25"/>
      <c r="FP1017" s="25"/>
      <c r="FQ1017" s="25"/>
      <c r="FR1017" s="25"/>
      <c r="FS1017" s="25"/>
      <c r="FT1017" s="25"/>
      <c r="FU1017" s="25"/>
      <c r="FV1017" s="28"/>
      <c r="FW1017" s="27"/>
      <c r="FX1017" s="27"/>
      <c r="FY1017" s="25"/>
      <c r="FZ1017" s="25"/>
      <c r="GA1017" s="25"/>
      <c r="GB1017" s="25"/>
      <c r="GC1017" s="25"/>
      <c r="GD1017" s="25"/>
      <c r="GE1017" s="25"/>
      <c r="GF1017" s="25"/>
      <c r="GG1017" s="25"/>
      <c r="GH1017" s="25"/>
      <c r="GI1017" s="25"/>
      <c r="GJ1017" s="25"/>
      <c r="GK1017" s="25"/>
      <c r="GL1017" s="25"/>
      <c r="GM1017" s="25"/>
      <c r="GN1017" s="25"/>
      <c r="GO1017" s="25"/>
      <c r="GP1017" s="25"/>
      <c r="GQ1017" s="25"/>
      <c r="GR1017" s="25"/>
      <c r="GS1017" s="25"/>
      <c r="GT1017" s="25"/>
      <c r="GU1017" s="25"/>
      <c r="GV1017" s="25"/>
      <c r="GW1017" s="25"/>
      <c r="GX1017" s="25"/>
      <c r="GY1017" s="25"/>
      <c r="GZ1017" s="25"/>
      <c r="HA1017" s="25"/>
      <c r="HB1017" s="25"/>
      <c r="HC1017" s="25"/>
      <c r="HD1017" s="25"/>
      <c r="HE1017" s="25"/>
      <c r="HF1017" s="25"/>
      <c r="HG1017" s="25"/>
      <c r="HH1017" s="25"/>
      <c r="HI1017" s="25"/>
      <c r="HJ1017" s="25"/>
      <c r="HK1017" s="25"/>
      <c r="HL1017" s="25"/>
    </row>
    <row r="1018" spans="1:220" ht="15.75" customHeight="1" x14ac:dyDescent="0.2">
      <c r="A1018" s="25"/>
      <c r="B1018" s="29"/>
      <c r="C1018" s="26"/>
      <c r="D1018" s="29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  <c r="CA1018" s="25"/>
      <c r="CB1018" s="25"/>
      <c r="CC1018" s="25"/>
      <c r="CD1018" s="25"/>
      <c r="CE1018" s="25"/>
      <c r="CF1018" s="25"/>
      <c r="CG1018" s="25"/>
      <c r="CH1018" s="25"/>
      <c r="CI1018" s="25"/>
      <c r="CJ1018" s="25"/>
      <c r="CK1018" s="25"/>
      <c r="CL1018" s="25"/>
      <c r="CM1018" s="25"/>
      <c r="CN1018" s="25"/>
      <c r="CO1018" s="25"/>
      <c r="CP1018" s="25"/>
      <c r="CQ1018" s="25"/>
      <c r="CR1018" s="25"/>
      <c r="CS1018" s="25"/>
      <c r="CT1018" s="25"/>
      <c r="CU1018" s="25"/>
      <c r="CV1018" s="25"/>
      <c r="CW1018" s="25"/>
      <c r="CX1018" s="25"/>
      <c r="CY1018" s="25"/>
      <c r="CZ1018" s="25"/>
      <c r="DA1018" s="25"/>
      <c r="DB1018" s="25"/>
      <c r="DC1018" s="25"/>
      <c r="DD1018" s="25"/>
      <c r="DE1018" s="25"/>
      <c r="DF1018" s="25"/>
      <c r="DG1018" s="25"/>
      <c r="DH1018" s="25"/>
      <c r="DI1018" s="25"/>
      <c r="DJ1018" s="25"/>
      <c r="DK1018" s="25"/>
      <c r="DL1018" s="25"/>
      <c r="DM1018" s="25"/>
      <c r="DN1018" s="25"/>
      <c r="DO1018" s="25"/>
      <c r="DP1018" s="25"/>
      <c r="DQ1018" s="25"/>
      <c r="DR1018" s="25"/>
      <c r="DS1018" s="25"/>
      <c r="DT1018" s="25"/>
      <c r="DU1018" s="25"/>
      <c r="DV1018" s="25"/>
      <c r="DW1018" s="25"/>
      <c r="DX1018" s="25"/>
      <c r="DY1018" s="25"/>
      <c r="DZ1018" s="25"/>
      <c r="EA1018" s="25"/>
      <c r="EB1018" s="25"/>
      <c r="EC1018" s="25"/>
      <c r="ED1018" s="25"/>
      <c r="EE1018" s="25"/>
      <c r="EF1018" s="25"/>
      <c r="EG1018" s="25"/>
      <c r="EH1018" s="25"/>
      <c r="EI1018" s="25"/>
      <c r="EJ1018" s="25"/>
      <c r="EK1018" s="25"/>
      <c r="EL1018" s="25"/>
      <c r="EM1018" s="25"/>
      <c r="EN1018" s="25"/>
      <c r="EO1018" s="25"/>
      <c r="EP1018" s="25"/>
      <c r="EQ1018" s="25"/>
      <c r="ER1018" s="25"/>
      <c r="ES1018" s="25"/>
      <c r="ET1018" s="25"/>
      <c r="EU1018" s="25"/>
      <c r="EV1018" s="25"/>
      <c r="EW1018" s="25"/>
      <c r="EX1018" s="25"/>
      <c r="EY1018" s="25"/>
      <c r="EZ1018" s="25"/>
      <c r="FA1018" s="25"/>
      <c r="FB1018" s="25"/>
      <c r="FC1018" s="25"/>
      <c r="FD1018" s="25"/>
      <c r="FE1018" s="25"/>
      <c r="FF1018" s="25"/>
      <c r="FG1018" s="25"/>
      <c r="FH1018" s="25"/>
      <c r="FI1018" s="25"/>
      <c r="FJ1018" s="25"/>
      <c r="FK1018" s="25"/>
      <c r="FL1018" s="25"/>
      <c r="FM1018" s="25"/>
      <c r="FN1018" s="25"/>
      <c r="FO1018" s="25"/>
      <c r="FP1018" s="25"/>
      <c r="FQ1018" s="25"/>
      <c r="FR1018" s="25"/>
      <c r="FS1018" s="25"/>
      <c r="FT1018" s="25"/>
      <c r="FU1018" s="25"/>
      <c r="FV1018" s="28"/>
      <c r="FW1018" s="27"/>
      <c r="FX1018" s="27"/>
      <c r="FY1018" s="25"/>
      <c r="FZ1018" s="25"/>
      <c r="GA1018" s="25"/>
      <c r="GB1018" s="25"/>
      <c r="GC1018" s="25"/>
      <c r="GD1018" s="25"/>
      <c r="GE1018" s="25"/>
      <c r="GF1018" s="25"/>
      <c r="GG1018" s="25"/>
      <c r="GH1018" s="25"/>
      <c r="GI1018" s="25"/>
      <c r="GJ1018" s="25"/>
      <c r="GK1018" s="25"/>
      <c r="GL1018" s="25"/>
      <c r="GM1018" s="25"/>
      <c r="GN1018" s="25"/>
      <c r="GO1018" s="25"/>
      <c r="GP1018" s="25"/>
      <c r="GQ1018" s="25"/>
      <c r="GR1018" s="25"/>
      <c r="GS1018" s="25"/>
      <c r="GT1018" s="25"/>
      <c r="GU1018" s="25"/>
      <c r="GV1018" s="25"/>
      <c r="GW1018" s="25"/>
      <c r="GX1018" s="25"/>
      <c r="GY1018" s="25"/>
      <c r="GZ1018" s="25"/>
      <c r="HA1018" s="25"/>
      <c r="HB1018" s="25"/>
      <c r="HC1018" s="25"/>
      <c r="HD1018" s="25"/>
      <c r="HE1018" s="25"/>
      <c r="HF1018" s="25"/>
      <c r="HG1018" s="25"/>
      <c r="HH1018" s="25"/>
      <c r="HI1018" s="25"/>
      <c r="HJ1018" s="25"/>
      <c r="HK1018" s="25"/>
      <c r="HL1018" s="25"/>
    </row>
    <row r="1019" spans="1:220" ht="15.75" customHeight="1" x14ac:dyDescent="0.2">
      <c r="A1019" s="25"/>
      <c r="B1019" s="29"/>
      <c r="C1019" s="26"/>
      <c r="D1019" s="29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  <c r="CA1019" s="25"/>
      <c r="CB1019" s="25"/>
      <c r="CC1019" s="25"/>
      <c r="CD1019" s="25"/>
      <c r="CE1019" s="25"/>
      <c r="CF1019" s="25"/>
      <c r="CG1019" s="25"/>
      <c r="CH1019" s="25"/>
      <c r="CI1019" s="25"/>
      <c r="CJ1019" s="25"/>
      <c r="CK1019" s="25"/>
      <c r="CL1019" s="25"/>
      <c r="CM1019" s="25"/>
      <c r="CN1019" s="25"/>
      <c r="CO1019" s="25"/>
      <c r="CP1019" s="25"/>
      <c r="CQ1019" s="25"/>
      <c r="CR1019" s="25"/>
      <c r="CS1019" s="25"/>
      <c r="CT1019" s="25"/>
      <c r="CU1019" s="25"/>
      <c r="CV1019" s="25"/>
      <c r="CW1019" s="25"/>
      <c r="CX1019" s="25"/>
      <c r="CY1019" s="25"/>
      <c r="CZ1019" s="25"/>
      <c r="DA1019" s="25"/>
      <c r="DB1019" s="25"/>
      <c r="DC1019" s="25"/>
      <c r="DD1019" s="25"/>
      <c r="DE1019" s="25"/>
      <c r="DF1019" s="25"/>
      <c r="DG1019" s="25"/>
      <c r="DH1019" s="25"/>
      <c r="DI1019" s="25"/>
      <c r="DJ1019" s="25"/>
      <c r="DK1019" s="25"/>
      <c r="DL1019" s="25"/>
      <c r="DM1019" s="25"/>
      <c r="DN1019" s="25"/>
      <c r="DO1019" s="25"/>
      <c r="DP1019" s="25"/>
      <c r="DQ1019" s="25"/>
      <c r="DR1019" s="25"/>
      <c r="DS1019" s="25"/>
      <c r="DT1019" s="25"/>
      <c r="DU1019" s="25"/>
      <c r="DV1019" s="25"/>
      <c r="DW1019" s="25"/>
      <c r="DX1019" s="25"/>
      <c r="DY1019" s="25"/>
      <c r="DZ1019" s="25"/>
      <c r="EA1019" s="25"/>
      <c r="EB1019" s="25"/>
      <c r="EC1019" s="25"/>
      <c r="ED1019" s="25"/>
      <c r="EE1019" s="25"/>
      <c r="EF1019" s="25"/>
      <c r="EG1019" s="25"/>
      <c r="EH1019" s="25"/>
      <c r="EI1019" s="25"/>
      <c r="EJ1019" s="25"/>
      <c r="EK1019" s="25"/>
      <c r="EL1019" s="25"/>
      <c r="EM1019" s="25"/>
      <c r="EN1019" s="25"/>
      <c r="EO1019" s="25"/>
      <c r="EP1019" s="25"/>
      <c r="EQ1019" s="25"/>
      <c r="ER1019" s="25"/>
      <c r="ES1019" s="25"/>
      <c r="ET1019" s="25"/>
      <c r="EU1019" s="25"/>
      <c r="EV1019" s="25"/>
      <c r="EW1019" s="25"/>
      <c r="EX1019" s="25"/>
      <c r="EY1019" s="25"/>
      <c r="EZ1019" s="25"/>
      <c r="FA1019" s="25"/>
      <c r="FB1019" s="25"/>
      <c r="FC1019" s="25"/>
      <c r="FD1019" s="25"/>
      <c r="FE1019" s="25"/>
      <c r="FF1019" s="25"/>
      <c r="FG1019" s="25"/>
      <c r="FH1019" s="25"/>
      <c r="FI1019" s="25"/>
      <c r="FJ1019" s="25"/>
      <c r="FK1019" s="25"/>
      <c r="FL1019" s="25"/>
      <c r="FM1019" s="25"/>
      <c r="FN1019" s="25"/>
      <c r="FO1019" s="25"/>
      <c r="FP1019" s="25"/>
      <c r="FQ1019" s="25"/>
      <c r="FR1019" s="25"/>
      <c r="FS1019" s="25"/>
      <c r="FT1019" s="25"/>
      <c r="FU1019" s="25"/>
      <c r="FV1019" s="28"/>
      <c r="FW1019" s="27"/>
      <c r="FX1019" s="27"/>
      <c r="FY1019" s="25"/>
      <c r="FZ1019" s="25"/>
      <c r="GA1019" s="25"/>
      <c r="GB1019" s="25"/>
      <c r="GC1019" s="25"/>
      <c r="GD1019" s="25"/>
      <c r="GE1019" s="25"/>
      <c r="GF1019" s="25"/>
      <c r="GG1019" s="25"/>
      <c r="GH1019" s="25"/>
      <c r="GI1019" s="25"/>
      <c r="GJ1019" s="25"/>
      <c r="GK1019" s="25"/>
      <c r="GL1019" s="25"/>
      <c r="GM1019" s="25"/>
      <c r="GN1019" s="25"/>
      <c r="GO1019" s="25"/>
      <c r="GP1019" s="25"/>
      <c r="GQ1019" s="25"/>
      <c r="GR1019" s="25"/>
      <c r="GS1019" s="25"/>
      <c r="GT1019" s="25"/>
      <c r="GU1019" s="25"/>
      <c r="GV1019" s="25"/>
      <c r="GW1019" s="25"/>
      <c r="GX1019" s="25"/>
      <c r="GY1019" s="25"/>
      <c r="GZ1019" s="25"/>
      <c r="HA1019" s="25"/>
      <c r="HB1019" s="25"/>
      <c r="HC1019" s="25"/>
      <c r="HD1019" s="25"/>
      <c r="HE1019" s="25"/>
      <c r="HF1019" s="25"/>
      <c r="HG1019" s="25"/>
      <c r="HH1019" s="25"/>
      <c r="HI1019" s="25"/>
      <c r="HJ1019" s="25"/>
      <c r="HK1019" s="25"/>
      <c r="HL1019" s="25"/>
    </row>
    <row r="1020" spans="1:220" ht="15.75" customHeight="1" x14ac:dyDescent="0.2">
      <c r="A1020" s="25"/>
      <c r="B1020" s="29"/>
      <c r="C1020" s="26"/>
      <c r="D1020" s="29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  <c r="CA1020" s="25"/>
      <c r="CB1020" s="25"/>
      <c r="CC1020" s="25"/>
      <c r="CD1020" s="25"/>
      <c r="CE1020" s="25"/>
      <c r="CF1020" s="25"/>
      <c r="CG1020" s="25"/>
      <c r="CH1020" s="25"/>
      <c r="CI1020" s="25"/>
      <c r="CJ1020" s="25"/>
      <c r="CK1020" s="25"/>
      <c r="CL1020" s="25"/>
      <c r="CM1020" s="25"/>
      <c r="CN1020" s="25"/>
      <c r="CO1020" s="25"/>
      <c r="CP1020" s="25"/>
      <c r="CQ1020" s="25"/>
      <c r="CR1020" s="25"/>
      <c r="CS1020" s="25"/>
      <c r="CT1020" s="25"/>
      <c r="CU1020" s="25"/>
      <c r="CV1020" s="25"/>
      <c r="CW1020" s="25"/>
      <c r="CX1020" s="25"/>
      <c r="CY1020" s="25"/>
      <c r="CZ1020" s="25"/>
      <c r="DA1020" s="25"/>
      <c r="DB1020" s="25"/>
      <c r="DC1020" s="25"/>
      <c r="DD1020" s="25"/>
      <c r="DE1020" s="25"/>
      <c r="DF1020" s="25"/>
      <c r="DG1020" s="25"/>
      <c r="DH1020" s="25"/>
      <c r="DI1020" s="25"/>
      <c r="DJ1020" s="25"/>
      <c r="DK1020" s="25"/>
      <c r="DL1020" s="25"/>
      <c r="DM1020" s="25"/>
      <c r="DN1020" s="25"/>
      <c r="DO1020" s="25"/>
      <c r="DP1020" s="25"/>
      <c r="DQ1020" s="25"/>
      <c r="DR1020" s="25"/>
      <c r="DS1020" s="25"/>
      <c r="DT1020" s="25"/>
      <c r="DU1020" s="25"/>
      <c r="DV1020" s="25"/>
      <c r="DW1020" s="25"/>
      <c r="DX1020" s="25"/>
      <c r="DY1020" s="25"/>
      <c r="DZ1020" s="25"/>
      <c r="EA1020" s="25"/>
      <c r="EB1020" s="25"/>
      <c r="EC1020" s="25"/>
      <c r="ED1020" s="25"/>
      <c r="EE1020" s="25"/>
      <c r="EF1020" s="25"/>
      <c r="EG1020" s="25"/>
      <c r="EH1020" s="25"/>
      <c r="EI1020" s="25"/>
      <c r="EJ1020" s="25"/>
      <c r="EK1020" s="25"/>
      <c r="EL1020" s="25"/>
      <c r="EM1020" s="25"/>
      <c r="EN1020" s="25"/>
      <c r="EO1020" s="25"/>
      <c r="EP1020" s="25"/>
      <c r="EQ1020" s="25"/>
      <c r="ER1020" s="25"/>
      <c r="ES1020" s="25"/>
      <c r="ET1020" s="25"/>
      <c r="EU1020" s="25"/>
      <c r="EV1020" s="25"/>
      <c r="EW1020" s="25"/>
      <c r="EX1020" s="25"/>
      <c r="EY1020" s="25"/>
      <c r="EZ1020" s="25"/>
      <c r="FA1020" s="25"/>
      <c r="FB1020" s="25"/>
      <c r="FC1020" s="25"/>
      <c r="FD1020" s="25"/>
      <c r="FE1020" s="25"/>
      <c r="FF1020" s="25"/>
      <c r="FG1020" s="25"/>
      <c r="FH1020" s="25"/>
      <c r="FI1020" s="25"/>
      <c r="FJ1020" s="25"/>
      <c r="FK1020" s="25"/>
      <c r="FL1020" s="25"/>
      <c r="FM1020" s="25"/>
      <c r="FN1020" s="25"/>
      <c r="FO1020" s="25"/>
      <c r="FP1020" s="25"/>
      <c r="FQ1020" s="25"/>
      <c r="FR1020" s="25"/>
      <c r="FS1020" s="25"/>
      <c r="FT1020" s="25"/>
      <c r="FU1020" s="25"/>
      <c r="FV1020" s="28"/>
      <c r="FW1020" s="27"/>
      <c r="FX1020" s="27"/>
      <c r="FY1020" s="25"/>
      <c r="FZ1020" s="25"/>
      <c r="GA1020" s="25"/>
      <c r="GB1020" s="25"/>
      <c r="GC1020" s="25"/>
      <c r="GD1020" s="25"/>
      <c r="GE1020" s="25"/>
      <c r="GF1020" s="25"/>
      <c r="GG1020" s="25"/>
      <c r="GH1020" s="25"/>
      <c r="GI1020" s="25"/>
      <c r="GJ1020" s="25"/>
      <c r="GK1020" s="25"/>
      <c r="GL1020" s="25"/>
      <c r="GM1020" s="25"/>
      <c r="GN1020" s="25"/>
      <c r="GO1020" s="25"/>
      <c r="GP1020" s="25"/>
      <c r="GQ1020" s="25"/>
      <c r="GR1020" s="25"/>
      <c r="GS1020" s="25"/>
      <c r="GT1020" s="25"/>
      <c r="GU1020" s="25"/>
      <c r="GV1020" s="25"/>
      <c r="GW1020" s="25"/>
      <c r="GX1020" s="25"/>
      <c r="GY1020" s="25"/>
      <c r="GZ1020" s="25"/>
      <c r="HA1020" s="25"/>
      <c r="HB1020" s="25"/>
      <c r="HC1020" s="25"/>
      <c r="HD1020" s="25"/>
      <c r="HE1020" s="25"/>
      <c r="HF1020" s="25"/>
      <c r="HG1020" s="25"/>
      <c r="HH1020" s="25"/>
      <c r="HI1020" s="25"/>
      <c r="HJ1020" s="25"/>
      <c r="HK1020" s="25"/>
      <c r="HL1020" s="25"/>
    </row>
    <row r="1021" spans="1:220" ht="15.75" customHeight="1" x14ac:dyDescent="0.2">
      <c r="A1021" s="25"/>
      <c r="B1021" s="29"/>
      <c r="C1021" s="26"/>
      <c r="D1021" s="29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  <c r="CA1021" s="25"/>
      <c r="CB1021" s="25"/>
      <c r="CC1021" s="25"/>
      <c r="CD1021" s="25"/>
      <c r="CE1021" s="25"/>
      <c r="CF1021" s="25"/>
      <c r="CG1021" s="25"/>
      <c r="CH1021" s="25"/>
      <c r="CI1021" s="25"/>
      <c r="CJ1021" s="25"/>
      <c r="CK1021" s="25"/>
      <c r="CL1021" s="25"/>
      <c r="CM1021" s="25"/>
      <c r="CN1021" s="25"/>
      <c r="CO1021" s="25"/>
      <c r="CP1021" s="25"/>
      <c r="CQ1021" s="25"/>
      <c r="CR1021" s="25"/>
      <c r="CS1021" s="25"/>
      <c r="CT1021" s="25"/>
      <c r="CU1021" s="25"/>
      <c r="CV1021" s="25"/>
      <c r="CW1021" s="25"/>
      <c r="CX1021" s="25"/>
      <c r="CY1021" s="25"/>
      <c r="CZ1021" s="25"/>
      <c r="DA1021" s="25"/>
      <c r="DB1021" s="25"/>
      <c r="DC1021" s="25"/>
      <c r="DD1021" s="25"/>
      <c r="DE1021" s="25"/>
      <c r="DF1021" s="25"/>
      <c r="DG1021" s="25"/>
      <c r="DH1021" s="25"/>
      <c r="DI1021" s="25"/>
      <c r="DJ1021" s="25"/>
      <c r="DK1021" s="25"/>
      <c r="DL1021" s="25"/>
      <c r="DM1021" s="25"/>
      <c r="DN1021" s="25"/>
      <c r="DO1021" s="25"/>
      <c r="DP1021" s="25"/>
      <c r="DQ1021" s="25"/>
      <c r="DR1021" s="25"/>
      <c r="DS1021" s="25"/>
      <c r="DT1021" s="25"/>
      <c r="DU1021" s="25"/>
      <c r="DV1021" s="25"/>
      <c r="DW1021" s="25"/>
      <c r="DX1021" s="25"/>
      <c r="DY1021" s="25"/>
      <c r="DZ1021" s="25"/>
      <c r="EA1021" s="25"/>
      <c r="EB1021" s="25"/>
      <c r="EC1021" s="25"/>
      <c r="ED1021" s="25"/>
      <c r="EE1021" s="25"/>
      <c r="EF1021" s="25"/>
      <c r="EG1021" s="25"/>
      <c r="EH1021" s="25"/>
      <c r="EI1021" s="25"/>
      <c r="EJ1021" s="25"/>
      <c r="EK1021" s="25"/>
      <c r="EL1021" s="25"/>
      <c r="EM1021" s="25"/>
      <c r="EN1021" s="25"/>
      <c r="EO1021" s="25"/>
      <c r="EP1021" s="25"/>
      <c r="EQ1021" s="25"/>
      <c r="ER1021" s="25"/>
      <c r="ES1021" s="25"/>
      <c r="ET1021" s="25"/>
      <c r="EU1021" s="25"/>
      <c r="EV1021" s="25"/>
      <c r="EW1021" s="25"/>
      <c r="EX1021" s="25"/>
      <c r="EY1021" s="25"/>
      <c r="EZ1021" s="25"/>
      <c r="FA1021" s="25"/>
      <c r="FB1021" s="25"/>
      <c r="FC1021" s="25"/>
      <c r="FD1021" s="25"/>
      <c r="FE1021" s="25"/>
      <c r="FF1021" s="25"/>
      <c r="FG1021" s="25"/>
      <c r="FH1021" s="25"/>
      <c r="FI1021" s="25"/>
      <c r="FJ1021" s="25"/>
      <c r="FK1021" s="25"/>
      <c r="FL1021" s="25"/>
      <c r="FM1021" s="25"/>
      <c r="FN1021" s="25"/>
      <c r="FO1021" s="25"/>
      <c r="FP1021" s="25"/>
      <c r="FQ1021" s="25"/>
      <c r="FR1021" s="25"/>
      <c r="FS1021" s="25"/>
      <c r="FT1021" s="25"/>
      <c r="FU1021" s="25"/>
      <c r="FV1021" s="28"/>
      <c r="FW1021" s="27"/>
      <c r="FX1021" s="27"/>
      <c r="FY1021" s="25"/>
      <c r="FZ1021" s="25"/>
      <c r="GA1021" s="25"/>
      <c r="GB1021" s="25"/>
      <c r="GC1021" s="25"/>
      <c r="GD1021" s="25"/>
      <c r="GE1021" s="25"/>
      <c r="GF1021" s="25"/>
      <c r="GG1021" s="25"/>
      <c r="GH1021" s="25"/>
      <c r="GI1021" s="25"/>
      <c r="GJ1021" s="25"/>
      <c r="GK1021" s="25"/>
      <c r="GL1021" s="25"/>
      <c r="GM1021" s="25"/>
      <c r="GN1021" s="25"/>
      <c r="GO1021" s="25"/>
      <c r="GP1021" s="25"/>
      <c r="GQ1021" s="25"/>
      <c r="GR1021" s="25"/>
      <c r="GS1021" s="25"/>
      <c r="GT1021" s="25"/>
      <c r="GU1021" s="25"/>
      <c r="GV1021" s="25"/>
      <c r="GW1021" s="25"/>
      <c r="GX1021" s="25"/>
      <c r="GY1021" s="25"/>
      <c r="GZ1021" s="25"/>
      <c r="HA1021" s="25"/>
      <c r="HB1021" s="25"/>
      <c r="HC1021" s="25"/>
      <c r="HD1021" s="25"/>
      <c r="HE1021" s="25"/>
      <c r="HF1021" s="25"/>
      <c r="HG1021" s="25"/>
      <c r="HH1021" s="25"/>
      <c r="HI1021" s="25"/>
      <c r="HJ1021" s="25"/>
      <c r="HK1021" s="25"/>
      <c r="HL1021" s="25"/>
    </row>
    <row r="1022" spans="1:220" ht="15.75" customHeight="1" x14ac:dyDescent="0.2">
      <c r="A1022" s="25"/>
      <c r="B1022" s="29"/>
      <c r="C1022" s="26"/>
      <c r="D1022" s="29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  <c r="CA1022" s="25"/>
      <c r="CB1022" s="25"/>
      <c r="CC1022" s="25"/>
      <c r="CD1022" s="25"/>
      <c r="CE1022" s="25"/>
      <c r="CF1022" s="25"/>
      <c r="CG1022" s="25"/>
      <c r="CH1022" s="25"/>
      <c r="CI1022" s="25"/>
      <c r="CJ1022" s="25"/>
      <c r="CK1022" s="25"/>
      <c r="CL1022" s="25"/>
      <c r="CM1022" s="25"/>
      <c r="CN1022" s="25"/>
      <c r="CO1022" s="25"/>
      <c r="CP1022" s="25"/>
      <c r="CQ1022" s="25"/>
      <c r="CR1022" s="25"/>
      <c r="CS1022" s="25"/>
      <c r="CT1022" s="25"/>
      <c r="CU1022" s="25"/>
      <c r="CV1022" s="25"/>
      <c r="CW1022" s="25"/>
      <c r="CX1022" s="25"/>
      <c r="CY1022" s="25"/>
      <c r="CZ1022" s="25"/>
      <c r="DA1022" s="25"/>
      <c r="DB1022" s="25"/>
      <c r="DC1022" s="25"/>
      <c r="DD1022" s="25"/>
      <c r="DE1022" s="25"/>
      <c r="DF1022" s="25"/>
      <c r="DG1022" s="25"/>
      <c r="DH1022" s="25"/>
      <c r="DI1022" s="25"/>
      <c r="DJ1022" s="25"/>
      <c r="DK1022" s="25"/>
      <c r="DL1022" s="25"/>
      <c r="DM1022" s="25"/>
      <c r="DN1022" s="25"/>
      <c r="DO1022" s="25"/>
      <c r="DP1022" s="25"/>
      <c r="DQ1022" s="25"/>
      <c r="DR1022" s="25"/>
      <c r="DS1022" s="25"/>
      <c r="DT1022" s="25"/>
      <c r="DU1022" s="25"/>
      <c r="DV1022" s="25"/>
      <c r="DW1022" s="25"/>
      <c r="DX1022" s="25"/>
      <c r="DY1022" s="25"/>
      <c r="DZ1022" s="25"/>
      <c r="EA1022" s="25"/>
      <c r="EB1022" s="25"/>
      <c r="EC1022" s="25"/>
      <c r="ED1022" s="25"/>
      <c r="EE1022" s="25"/>
      <c r="EF1022" s="25"/>
      <c r="EG1022" s="25"/>
      <c r="EH1022" s="25"/>
      <c r="EI1022" s="25"/>
      <c r="EJ1022" s="25"/>
      <c r="EK1022" s="25"/>
      <c r="EL1022" s="25"/>
      <c r="EM1022" s="25"/>
      <c r="EN1022" s="25"/>
      <c r="EO1022" s="25"/>
      <c r="EP1022" s="25"/>
      <c r="EQ1022" s="25"/>
      <c r="ER1022" s="25"/>
      <c r="ES1022" s="25"/>
      <c r="ET1022" s="25"/>
      <c r="EU1022" s="25"/>
      <c r="EV1022" s="25"/>
      <c r="EW1022" s="25"/>
      <c r="EX1022" s="25"/>
      <c r="EY1022" s="25"/>
      <c r="EZ1022" s="25"/>
      <c r="FA1022" s="25"/>
      <c r="FB1022" s="25"/>
      <c r="FC1022" s="25"/>
      <c r="FD1022" s="25"/>
      <c r="FE1022" s="25"/>
      <c r="FF1022" s="25"/>
      <c r="FG1022" s="25"/>
      <c r="FH1022" s="25"/>
      <c r="FI1022" s="25"/>
      <c r="FJ1022" s="25"/>
      <c r="FK1022" s="25"/>
      <c r="FL1022" s="25"/>
      <c r="FM1022" s="25"/>
      <c r="FN1022" s="25"/>
      <c r="FO1022" s="25"/>
      <c r="FP1022" s="25"/>
      <c r="FQ1022" s="25"/>
      <c r="FR1022" s="25"/>
      <c r="FS1022" s="25"/>
      <c r="FT1022" s="25"/>
      <c r="FU1022" s="25"/>
      <c r="FV1022" s="28"/>
      <c r="FW1022" s="27"/>
      <c r="FX1022" s="27"/>
      <c r="FY1022" s="25"/>
      <c r="FZ1022" s="25"/>
      <c r="GA1022" s="25"/>
      <c r="GB1022" s="25"/>
      <c r="GC1022" s="25"/>
      <c r="GD1022" s="25"/>
      <c r="GE1022" s="25"/>
      <c r="GF1022" s="25"/>
      <c r="GG1022" s="25"/>
      <c r="GH1022" s="25"/>
      <c r="GI1022" s="25"/>
      <c r="GJ1022" s="25"/>
      <c r="GK1022" s="25"/>
      <c r="GL1022" s="25"/>
      <c r="GM1022" s="25"/>
      <c r="GN1022" s="25"/>
      <c r="GO1022" s="25"/>
      <c r="GP1022" s="25"/>
      <c r="GQ1022" s="25"/>
      <c r="GR1022" s="25"/>
      <c r="GS1022" s="25"/>
      <c r="GT1022" s="25"/>
      <c r="GU1022" s="25"/>
      <c r="GV1022" s="25"/>
      <c r="GW1022" s="25"/>
      <c r="GX1022" s="25"/>
      <c r="GY1022" s="25"/>
      <c r="GZ1022" s="25"/>
      <c r="HA1022" s="25"/>
      <c r="HB1022" s="25"/>
      <c r="HC1022" s="25"/>
      <c r="HD1022" s="25"/>
      <c r="HE1022" s="25"/>
      <c r="HF1022" s="25"/>
      <c r="HG1022" s="25"/>
      <c r="HH1022" s="25"/>
      <c r="HI1022" s="25"/>
      <c r="HJ1022" s="25"/>
      <c r="HK1022" s="25"/>
      <c r="HL1022" s="25"/>
    </row>
    <row r="1023" spans="1:220" ht="15.75" customHeight="1" x14ac:dyDescent="0.2">
      <c r="A1023" s="25"/>
      <c r="B1023" s="29"/>
      <c r="C1023" s="26"/>
      <c r="D1023" s="29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  <c r="CA1023" s="25"/>
      <c r="CB1023" s="25"/>
      <c r="CC1023" s="25"/>
      <c r="CD1023" s="25"/>
      <c r="CE1023" s="25"/>
      <c r="CF1023" s="25"/>
      <c r="CG1023" s="25"/>
      <c r="CH1023" s="25"/>
      <c r="CI1023" s="25"/>
      <c r="CJ1023" s="25"/>
      <c r="CK1023" s="25"/>
      <c r="CL1023" s="25"/>
      <c r="CM1023" s="25"/>
      <c r="CN1023" s="25"/>
      <c r="CO1023" s="25"/>
      <c r="CP1023" s="25"/>
      <c r="CQ1023" s="25"/>
      <c r="CR1023" s="25"/>
      <c r="CS1023" s="25"/>
      <c r="CT1023" s="25"/>
      <c r="CU1023" s="25"/>
      <c r="CV1023" s="25"/>
      <c r="CW1023" s="25"/>
      <c r="CX1023" s="25"/>
      <c r="CY1023" s="25"/>
      <c r="CZ1023" s="25"/>
      <c r="DA1023" s="25"/>
      <c r="DB1023" s="25"/>
      <c r="DC1023" s="25"/>
      <c r="DD1023" s="25"/>
      <c r="DE1023" s="25"/>
      <c r="DF1023" s="25"/>
      <c r="DG1023" s="25"/>
      <c r="DH1023" s="25"/>
      <c r="DI1023" s="25"/>
      <c r="DJ1023" s="25"/>
      <c r="DK1023" s="25"/>
      <c r="DL1023" s="25"/>
      <c r="DM1023" s="25"/>
      <c r="DN1023" s="25"/>
      <c r="DO1023" s="25"/>
      <c r="DP1023" s="25"/>
      <c r="DQ1023" s="25"/>
      <c r="DR1023" s="25"/>
      <c r="DS1023" s="25"/>
      <c r="DT1023" s="25"/>
      <c r="DU1023" s="25"/>
      <c r="DV1023" s="25"/>
      <c r="DW1023" s="25"/>
      <c r="DX1023" s="25"/>
      <c r="DY1023" s="25"/>
      <c r="DZ1023" s="25"/>
      <c r="EA1023" s="25"/>
      <c r="EB1023" s="25"/>
      <c r="EC1023" s="25"/>
      <c r="ED1023" s="25"/>
      <c r="EE1023" s="25"/>
      <c r="EF1023" s="25"/>
      <c r="EG1023" s="25"/>
      <c r="EH1023" s="25"/>
      <c r="EI1023" s="25"/>
      <c r="EJ1023" s="25"/>
      <c r="EK1023" s="25"/>
      <c r="EL1023" s="25"/>
      <c r="EM1023" s="25"/>
      <c r="EN1023" s="25"/>
      <c r="EO1023" s="25"/>
      <c r="EP1023" s="25"/>
      <c r="EQ1023" s="25"/>
      <c r="ER1023" s="25"/>
      <c r="ES1023" s="25"/>
      <c r="ET1023" s="25"/>
      <c r="EU1023" s="25"/>
      <c r="EV1023" s="25"/>
      <c r="EW1023" s="25"/>
      <c r="EX1023" s="25"/>
      <c r="EY1023" s="25"/>
      <c r="EZ1023" s="25"/>
      <c r="FA1023" s="25"/>
      <c r="FB1023" s="25"/>
      <c r="FC1023" s="25"/>
      <c r="FD1023" s="25"/>
      <c r="FE1023" s="25"/>
      <c r="FF1023" s="25"/>
      <c r="FG1023" s="25"/>
      <c r="FH1023" s="25"/>
      <c r="FI1023" s="25"/>
      <c r="FJ1023" s="25"/>
      <c r="FK1023" s="25"/>
      <c r="FL1023" s="25"/>
      <c r="FM1023" s="25"/>
      <c r="FN1023" s="25"/>
      <c r="FO1023" s="25"/>
      <c r="FP1023" s="25"/>
      <c r="FQ1023" s="25"/>
      <c r="FR1023" s="25"/>
      <c r="FS1023" s="25"/>
      <c r="FT1023" s="25"/>
      <c r="FU1023" s="25"/>
      <c r="FV1023" s="28"/>
      <c r="FW1023" s="27"/>
      <c r="FX1023" s="27"/>
      <c r="FY1023" s="25"/>
      <c r="FZ1023" s="25"/>
      <c r="GA1023" s="25"/>
      <c r="GB1023" s="25"/>
      <c r="GC1023" s="25"/>
      <c r="GD1023" s="25"/>
      <c r="GE1023" s="25"/>
      <c r="GF1023" s="25"/>
      <c r="GG1023" s="25"/>
      <c r="GH1023" s="25"/>
      <c r="GI1023" s="25"/>
      <c r="GJ1023" s="25"/>
      <c r="GK1023" s="25"/>
      <c r="GL1023" s="25"/>
      <c r="GM1023" s="25"/>
      <c r="GN1023" s="25"/>
      <c r="GO1023" s="25"/>
      <c r="GP1023" s="25"/>
      <c r="GQ1023" s="25"/>
      <c r="GR1023" s="25"/>
      <c r="GS1023" s="25"/>
      <c r="GT1023" s="25"/>
      <c r="GU1023" s="25"/>
      <c r="GV1023" s="25"/>
      <c r="GW1023" s="25"/>
      <c r="GX1023" s="25"/>
      <c r="GY1023" s="25"/>
      <c r="GZ1023" s="25"/>
      <c r="HA1023" s="25"/>
      <c r="HB1023" s="25"/>
      <c r="HC1023" s="25"/>
      <c r="HD1023" s="25"/>
      <c r="HE1023" s="25"/>
      <c r="HF1023" s="25"/>
      <c r="HG1023" s="25"/>
      <c r="HH1023" s="25"/>
      <c r="HI1023" s="25"/>
      <c r="HJ1023" s="25"/>
      <c r="HK1023" s="25"/>
      <c r="HL1023" s="25"/>
    </row>
    <row r="1024" spans="1:220" ht="15.75" customHeight="1" x14ac:dyDescent="0.2">
      <c r="A1024" s="25"/>
      <c r="B1024" s="29"/>
      <c r="C1024" s="26"/>
      <c r="D1024" s="29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  <c r="CA1024" s="25"/>
      <c r="CB1024" s="25"/>
      <c r="CC1024" s="25"/>
      <c r="CD1024" s="25"/>
      <c r="CE1024" s="25"/>
      <c r="CF1024" s="25"/>
      <c r="CG1024" s="25"/>
      <c r="CH1024" s="25"/>
      <c r="CI1024" s="25"/>
      <c r="CJ1024" s="25"/>
      <c r="CK1024" s="25"/>
      <c r="CL1024" s="25"/>
      <c r="CM1024" s="25"/>
      <c r="CN1024" s="25"/>
      <c r="CO1024" s="25"/>
      <c r="CP1024" s="25"/>
      <c r="CQ1024" s="25"/>
      <c r="CR1024" s="25"/>
      <c r="CS1024" s="25"/>
      <c r="CT1024" s="25"/>
      <c r="CU1024" s="25"/>
      <c r="CV1024" s="25"/>
      <c r="CW1024" s="25"/>
      <c r="CX1024" s="25"/>
      <c r="CY1024" s="25"/>
      <c r="CZ1024" s="25"/>
      <c r="DA1024" s="25"/>
      <c r="DB1024" s="25"/>
      <c r="DC1024" s="25"/>
      <c r="DD1024" s="25"/>
      <c r="DE1024" s="25"/>
      <c r="DF1024" s="25"/>
      <c r="DG1024" s="25"/>
      <c r="DH1024" s="25"/>
      <c r="DI1024" s="25"/>
      <c r="DJ1024" s="25"/>
      <c r="DK1024" s="25"/>
      <c r="DL1024" s="25"/>
      <c r="DM1024" s="25"/>
      <c r="DN1024" s="25"/>
      <c r="DO1024" s="25"/>
      <c r="DP1024" s="25"/>
      <c r="DQ1024" s="25"/>
      <c r="DR1024" s="25"/>
      <c r="DS1024" s="25"/>
      <c r="DT1024" s="25"/>
      <c r="DU1024" s="25"/>
      <c r="DV1024" s="25"/>
      <c r="DW1024" s="25"/>
      <c r="DX1024" s="25"/>
      <c r="DY1024" s="25"/>
      <c r="DZ1024" s="25"/>
      <c r="EA1024" s="25"/>
      <c r="EB1024" s="25"/>
      <c r="EC1024" s="25"/>
      <c r="ED1024" s="25"/>
      <c r="EE1024" s="25"/>
      <c r="EF1024" s="25"/>
      <c r="EG1024" s="25"/>
      <c r="EH1024" s="25"/>
      <c r="EI1024" s="25"/>
      <c r="EJ1024" s="25"/>
      <c r="EK1024" s="25"/>
      <c r="EL1024" s="25"/>
      <c r="EM1024" s="25"/>
      <c r="EN1024" s="25"/>
      <c r="EO1024" s="25"/>
      <c r="EP1024" s="25"/>
      <c r="EQ1024" s="25"/>
      <c r="ER1024" s="25"/>
      <c r="ES1024" s="25"/>
      <c r="ET1024" s="25"/>
      <c r="EU1024" s="25"/>
      <c r="EV1024" s="25"/>
      <c r="EW1024" s="25"/>
      <c r="EX1024" s="25"/>
      <c r="EY1024" s="25"/>
      <c r="EZ1024" s="25"/>
      <c r="FA1024" s="25"/>
      <c r="FB1024" s="25"/>
      <c r="FC1024" s="25"/>
      <c r="FD1024" s="25"/>
      <c r="FE1024" s="25"/>
      <c r="FF1024" s="25"/>
      <c r="FG1024" s="25"/>
      <c r="FH1024" s="25"/>
      <c r="FI1024" s="25"/>
      <c r="FJ1024" s="25"/>
      <c r="FK1024" s="25"/>
      <c r="FL1024" s="25"/>
      <c r="FM1024" s="25"/>
      <c r="FN1024" s="25"/>
      <c r="FO1024" s="25"/>
      <c r="FP1024" s="25"/>
      <c r="FQ1024" s="25"/>
      <c r="FR1024" s="25"/>
      <c r="FS1024" s="25"/>
      <c r="FT1024" s="25"/>
      <c r="FU1024" s="25"/>
      <c r="FV1024" s="28"/>
      <c r="FW1024" s="27"/>
      <c r="FX1024" s="27"/>
      <c r="FY1024" s="25"/>
      <c r="FZ1024" s="25"/>
      <c r="GA1024" s="25"/>
      <c r="GB1024" s="25"/>
      <c r="GC1024" s="25"/>
      <c r="GD1024" s="25"/>
      <c r="GE1024" s="25"/>
      <c r="GF1024" s="25"/>
      <c r="GG1024" s="25"/>
      <c r="GH1024" s="25"/>
      <c r="GI1024" s="25"/>
      <c r="GJ1024" s="25"/>
      <c r="GK1024" s="25"/>
      <c r="GL1024" s="25"/>
      <c r="GM1024" s="25"/>
      <c r="GN1024" s="25"/>
      <c r="GO1024" s="25"/>
      <c r="GP1024" s="25"/>
      <c r="GQ1024" s="25"/>
      <c r="GR1024" s="25"/>
      <c r="GS1024" s="25"/>
      <c r="GT1024" s="25"/>
      <c r="GU1024" s="25"/>
      <c r="GV1024" s="25"/>
      <c r="GW1024" s="25"/>
      <c r="GX1024" s="25"/>
      <c r="GY1024" s="25"/>
      <c r="GZ1024" s="25"/>
      <c r="HA1024" s="25"/>
      <c r="HB1024" s="25"/>
      <c r="HC1024" s="25"/>
      <c r="HD1024" s="25"/>
      <c r="HE1024" s="25"/>
      <c r="HF1024" s="25"/>
      <c r="HG1024" s="25"/>
      <c r="HH1024" s="25"/>
      <c r="HI1024" s="25"/>
      <c r="HJ1024" s="25"/>
      <c r="HK1024" s="25"/>
      <c r="HL1024" s="25"/>
    </row>
    <row r="1025" spans="1:220" ht="15.75" customHeight="1" x14ac:dyDescent="0.2">
      <c r="A1025" s="25"/>
      <c r="B1025" s="29"/>
      <c r="C1025" s="26"/>
      <c r="D1025" s="29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  <c r="CA1025" s="25"/>
      <c r="CB1025" s="25"/>
      <c r="CC1025" s="25"/>
      <c r="CD1025" s="25"/>
      <c r="CE1025" s="25"/>
      <c r="CF1025" s="25"/>
      <c r="CG1025" s="25"/>
      <c r="CH1025" s="25"/>
      <c r="CI1025" s="25"/>
      <c r="CJ1025" s="25"/>
      <c r="CK1025" s="25"/>
      <c r="CL1025" s="25"/>
      <c r="CM1025" s="25"/>
      <c r="CN1025" s="25"/>
      <c r="CO1025" s="25"/>
      <c r="CP1025" s="25"/>
      <c r="CQ1025" s="25"/>
      <c r="CR1025" s="25"/>
      <c r="CS1025" s="25"/>
      <c r="CT1025" s="25"/>
      <c r="CU1025" s="25"/>
      <c r="CV1025" s="25"/>
      <c r="CW1025" s="25"/>
      <c r="CX1025" s="25"/>
      <c r="CY1025" s="25"/>
      <c r="CZ1025" s="25"/>
      <c r="DA1025" s="25"/>
      <c r="DB1025" s="25"/>
      <c r="DC1025" s="25"/>
      <c r="DD1025" s="25"/>
      <c r="DE1025" s="25"/>
      <c r="DF1025" s="25"/>
      <c r="DG1025" s="25"/>
      <c r="DH1025" s="25"/>
      <c r="DI1025" s="25"/>
      <c r="DJ1025" s="25"/>
      <c r="DK1025" s="25"/>
      <c r="DL1025" s="25"/>
      <c r="DM1025" s="25"/>
      <c r="DN1025" s="25"/>
      <c r="DO1025" s="25"/>
      <c r="DP1025" s="25"/>
      <c r="DQ1025" s="25"/>
      <c r="DR1025" s="25"/>
      <c r="DS1025" s="25"/>
      <c r="DT1025" s="25"/>
      <c r="DU1025" s="25"/>
      <c r="DV1025" s="25"/>
      <c r="DW1025" s="25"/>
      <c r="DX1025" s="25"/>
      <c r="DY1025" s="25"/>
      <c r="DZ1025" s="25"/>
      <c r="EA1025" s="25"/>
      <c r="EB1025" s="25"/>
      <c r="EC1025" s="25"/>
      <c r="ED1025" s="25"/>
      <c r="EE1025" s="25"/>
      <c r="EF1025" s="25"/>
      <c r="EG1025" s="25"/>
      <c r="EH1025" s="25"/>
      <c r="EI1025" s="25"/>
      <c r="EJ1025" s="25"/>
      <c r="EK1025" s="25"/>
      <c r="EL1025" s="25"/>
      <c r="EM1025" s="25"/>
      <c r="EN1025" s="25"/>
      <c r="EO1025" s="25"/>
      <c r="EP1025" s="25"/>
      <c r="EQ1025" s="25"/>
      <c r="ER1025" s="25"/>
      <c r="ES1025" s="25"/>
      <c r="ET1025" s="25"/>
      <c r="EU1025" s="25"/>
      <c r="EV1025" s="25"/>
      <c r="EW1025" s="25"/>
      <c r="EX1025" s="25"/>
      <c r="EY1025" s="25"/>
      <c r="EZ1025" s="25"/>
      <c r="FA1025" s="25"/>
      <c r="FB1025" s="25"/>
      <c r="FC1025" s="25"/>
      <c r="FD1025" s="25"/>
      <c r="FE1025" s="25"/>
      <c r="FF1025" s="25"/>
      <c r="FG1025" s="25"/>
      <c r="FH1025" s="25"/>
      <c r="FI1025" s="25"/>
      <c r="FJ1025" s="25"/>
      <c r="FK1025" s="25"/>
      <c r="FL1025" s="25"/>
      <c r="FM1025" s="25"/>
      <c r="FN1025" s="25"/>
      <c r="FO1025" s="25"/>
      <c r="FP1025" s="25"/>
      <c r="FQ1025" s="25"/>
      <c r="FR1025" s="25"/>
      <c r="FS1025" s="25"/>
      <c r="FT1025" s="25"/>
      <c r="FU1025" s="25"/>
      <c r="FV1025" s="28"/>
      <c r="FW1025" s="27"/>
      <c r="FX1025" s="27"/>
      <c r="FY1025" s="25"/>
      <c r="FZ1025" s="25"/>
      <c r="GA1025" s="25"/>
      <c r="GB1025" s="25"/>
      <c r="GC1025" s="25"/>
      <c r="GD1025" s="25"/>
      <c r="GE1025" s="25"/>
      <c r="GF1025" s="25"/>
      <c r="GG1025" s="25"/>
      <c r="GH1025" s="25"/>
      <c r="GI1025" s="25"/>
      <c r="GJ1025" s="25"/>
      <c r="GK1025" s="25"/>
      <c r="GL1025" s="25"/>
      <c r="GM1025" s="25"/>
      <c r="GN1025" s="25"/>
      <c r="GO1025" s="25"/>
      <c r="GP1025" s="25"/>
      <c r="GQ1025" s="25"/>
      <c r="GR1025" s="25"/>
      <c r="GS1025" s="25"/>
      <c r="GT1025" s="25"/>
      <c r="GU1025" s="25"/>
      <c r="GV1025" s="25"/>
      <c r="GW1025" s="25"/>
      <c r="GX1025" s="25"/>
      <c r="GY1025" s="25"/>
      <c r="GZ1025" s="25"/>
      <c r="HA1025" s="25"/>
      <c r="HB1025" s="25"/>
      <c r="HC1025" s="25"/>
      <c r="HD1025" s="25"/>
      <c r="HE1025" s="25"/>
      <c r="HF1025" s="25"/>
      <c r="HG1025" s="25"/>
      <c r="HH1025" s="25"/>
      <c r="HI1025" s="25"/>
      <c r="HJ1025" s="25"/>
      <c r="HK1025" s="25"/>
      <c r="HL1025" s="25"/>
    </row>
    <row r="1026" spans="1:220" ht="15.75" customHeight="1" x14ac:dyDescent="0.2">
      <c r="A1026" s="25"/>
      <c r="B1026" s="29"/>
      <c r="C1026" s="26"/>
      <c r="D1026" s="29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  <c r="CA1026" s="25"/>
      <c r="CB1026" s="25"/>
      <c r="CC1026" s="25"/>
      <c r="CD1026" s="25"/>
      <c r="CE1026" s="25"/>
      <c r="CF1026" s="25"/>
      <c r="CG1026" s="25"/>
      <c r="CH1026" s="25"/>
      <c r="CI1026" s="25"/>
      <c r="CJ1026" s="25"/>
      <c r="CK1026" s="25"/>
      <c r="CL1026" s="25"/>
      <c r="CM1026" s="25"/>
      <c r="CN1026" s="25"/>
      <c r="CO1026" s="25"/>
      <c r="CP1026" s="25"/>
      <c r="CQ1026" s="25"/>
      <c r="CR1026" s="25"/>
      <c r="CS1026" s="25"/>
      <c r="CT1026" s="25"/>
      <c r="CU1026" s="25"/>
      <c r="CV1026" s="25"/>
      <c r="CW1026" s="25"/>
      <c r="CX1026" s="25"/>
      <c r="CY1026" s="25"/>
      <c r="CZ1026" s="25"/>
      <c r="DA1026" s="25"/>
      <c r="DB1026" s="25"/>
      <c r="DC1026" s="25"/>
      <c r="DD1026" s="25"/>
      <c r="DE1026" s="25"/>
      <c r="DF1026" s="25"/>
      <c r="DG1026" s="25"/>
      <c r="DH1026" s="25"/>
      <c r="DI1026" s="25"/>
      <c r="DJ1026" s="25"/>
      <c r="DK1026" s="25"/>
      <c r="DL1026" s="25"/>
      <c r="DM1026" s="25"/>
      <c r="DN1026" s="25"/>
      <c r="DO1026" s="25"/>
      <c r="DP1026" s="25"/>
      <c r="DQ1026" s="25"/>
      <c r="DR1026" s="25"/>
      <c r="DS1026" s="25"/>
      <c r="DT1026" s="25"/>
      <c r="DU1026" s="25"/>
      <c r="DV1026" s="25"/>
      <c r="DW1026" s="25"/>
      <c r="DX1026" s="25"/>
      <c r="DY1026" s="25"/>
      <c r="DZ1026" s="25"/>
      <c r="EA1026" s="25"/>
      <c r="EB1026" s="25"/>
      <c r="EC1026" s="25"/>
      <c r="ED1026" s="25"/>
      <c r="EE1026" s="25"/>
      <c r="EF1026" s="25"/>
      <c r="EG1026" s="25"/>
      <c r="EH1026" s="25"/>
      <c r="EI1026" s="25"/>
      <c r="EJ1026" s="25"/>
      <c r="EK1026" s="25"/>
      <c r="EL1026" s="25"/>
      <c r="EM1026" s="25"/>
      <c r="EN1026" s="25"/>
      <c r="EO1026" s="25"/>
      <c r="EP1026" s="25"/>
      <c r="EQ1026" s="25"/>
      <c r="ER1026" s="25"/>
      <c r="ES1026" s="25"/>
      <c r="ET1026" s="25"/>
      <c r="EU1026" s="25"/>
      <c r="EV1026" s="25"/>
      <c r="EW1026" s="25"/>
      <c r="EX1026" s="25"/>
      <c r="EY1026" s="25"/>
      <c r="EZ1026" s="25"/>
      <c r="FA1026" s="25"/>
      <c r="FB1026" s="25"/>
      <c r="FC1026" s="25"/>
      <c r="FD1026" s="25"/>
      <c r="FE1026" s="25"/>
      <c r="FF1026" s="25"/>
      <c r="FG1026" s="25"/>
      <c r="FH1026" s="25"/>
      <c r="FI1026" s="25"/>
      <c r="FJ1026" s="25"/>
      <c r="FK1026" s="25"/>
      <c r="FL1026" s="25"/>
      <c r="FM1026" s="25"/>
      <c r="FN1026" s="25"/>
      <c r="FO1026" s="25"/>
      <c r="FP1026" s="25"/>
      <c r="FQ1026" s="25"/>
      <c r="FR1026" s="25"/>
      <c r="FS1026" s="25"/>
      <c r="FT1026" s="25"/>
      <c r="FU1026" s="25"/>
      <c r="FV1026" s="28"/>
      <c r="FW1026" s="27"/>
      <c r="FX1026" s="27"/>
      <c r="FY1026" s="25"/>
      <c r="FZ1026" s="25"/>
      <c r="GA1026" s="25"/>
      <c r="GB1026" s="25"/>
      <c r="GC1026" s="25"/>
      <c r="GD1026" s="25"/>
      <c r="GE1026" s="25"/>
      <c r="GF1026" s="25"/>
      <c r="GG1026" s="25"/>
      <c r="GH1026" s="25"/>
      <c r="GI1026" s="25"/>
      <c r="GJ1026" s="25"/>
      <c r="GK1026" s="25"/>
      <c r="GL1026" s="25"/>
      <c r="GM1026" s="25"/>
      <c r="GN1026" s="25"/>
      <c r="GO1026" s="25"/>
      <c r="GP1026" s="25"/>
      <c r="GQ1026" s="25"/>
      <c r="GR1026" s="25"/>
      <c r="GS1026" s="25"/>
      <c r="GT1026" s="25"/>
      <c r="GU1026" s="25"/>
      <c r="GV1026" s="25"/>
      <c r="GW1026" s="25"/>
      <c r="GX1026" s="25"/>
      <c r="GY1026" s="25"/>
      <c r="GZ1026" s="25"/>
      <c r="HA1026" s="25"/>
      <c r="HB1026" s="25"/>
      <c r="HC1026" s="25"/>
      <c r="HD1026" s="25"/>
      <c r="HE1026" s="25"/>
      <c r="HF1026" s="25"/>
      <c r="HG1026" s="25"/>
      <c r="HH1026" s="25"/>
      <c r="HI1026" s="25"/>
      <c r="HJ1026" s="25"/>
      <c r="HK1026" s="25"/>
      <c r="HL1026" s="25"/>
    </row>
    <row r="1027" spans="1:220" ht="15.75" customHeight="1" x14ac:dyDescent="0.2">
      <c r="A1027" s="25"/>
      <c r="B1027" s="29"/>
      <c r="C1027" s="26"/>
      <c r="D1027" s="29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  <c r="CA1027" s="25"/>
      <c r="CB1027" s="25"/>
      <c r="CC1027" s="25"/>
      <c r="CD1027" s="25"/>
      <c r="CE1027" s="25"/>
      <c r="CF1027" s="25"/>
      <c r="CG1027" s="25"/>
      <c r="CH1027" s="25"/>
      <c r="CI1027" s="25"/>
      <c r="CJ1027" s="25"/>
      <c r="CK1027" s="25"/>
      <c r="CL1027" s="25"/>
      <c r="CM1027" s="25"/>
      <c r="CN1027" s="25"/>
      <c r="CO1027" s="25"/>
      <c r="CP1027" s="25"/>
      <c r="CQ1027" s="25"/>
      <c r="CR1027" s="25"/>
      <c r="CS1027" s="25"/>
      <c r="CT1027" s="25"/>
      <c r="CU1027" s="25"/>
      <c r="CV1027" s="25"/>
      <c r="CW1027" s="25"/>
      <c r="CX1027" s="25"/>
      <c r="CY1027" s="25"/>
      <c r="CZ1027" s="25"/>
      <c r="DA1027" s="25"/>
      <c r="DB1027" s="25"/>
      <c r="DC1027" s="25"/>
      <c r="DD1027" s="25"/>
      <c r="DE1027" s="25"/>
      <c r="DF1027" s="25"/>
      <c r="DG1027" s="25"/>
      <c r="DH1027" s="25"/>
      <c r="DI1027" s="25"/>
      <c r="DJ1027" s="25"/>
      <c r="DK1027" s="25"/>
      <c r="DL1027" s="25"/>
      <c r="DM1027" s="25"/>
      <c r="DN1027" s="25"/>
      <c r="DO1027" s="25"/>
      <c r="DP1027" s="25"/>
      <c r="DQ1027" s="25"/>
      <c r="DR1027" s="25"/>
      <c r="DS1027" s="25"/>
      <c r="DT1027" s="25"/>
      <c r="DU1027" s="25"/>
      <c r="DV1027" s="25"/>
      <c r="DW1027" s="25"/>
      <c r="DX1027" s="25"/>
      <c r="DY1027" s="25"/>
      <c r="DZ1027" s="25"/>
      <c r="EA1027" s="25"/>
      <c r="EB1027" s="25"/>
      <c r="EC1027" s="25"/>
      <c r="ED1027" s="25"/>
      <c r="EE1027" s="25"/>
      <c r="EF1027" s="25"/>
      <c r="EG1027" s="25"/>
      <c r="EH1027" s="25"/>
      <c r="EI1027" s="25"/>
      <c r="EJ1027" s="25"/>
      <c r="EK1027" s="25"/>
      <c r="EL1027" s="25"/>
      <c r="EM1027" s="25"/>
      <c r="EN1027" s="25"/>
      <c r="EO1027" s="25"/>
      <c r="EP1027" s="25"/>
      <c r="EQ1027" s="25"/>
      <c r="ER1027" s="25"/>
      <c r="ES1027" s="25"/>
      <c r="ET1027" s="25"/>
      <c r="EU1027" s="25"/>
      <c r="EV1027" s="25"/>
      <c r="EW1027" s="25"/>
      <c r="EX1027" s="25"/>
      <c r="EY1027" s="25"/>
      <c r="EZ1027" s="25"/>
      <c r="FA1027" s="25"/>
      <c r="FB1027" s="25"/>
      <c r="FC1027" s="25"/>
      <c r="FD1027" s="25"/>
      <c r="FE1027" s="25"/>
      <c r="FF1027" s="25"/>
      <c r="FG1027" s="25"/>
      <c r="FH1027" s="25"/>
      <c r="FI1027" s="25"/>
      <c r="FJ1027" s="25"/>
      <c r="FK1027" s="25"/>
      <c r="FL1027" s="25"/>
      <c r="FM1027" s="25"/>
      <c r="FN1027" s="25"/>
      <c r="FO1027" s="25"/>
      <c r="FP1027" s="25"/>
      <c r="FQ1027" s="25"/>
      <c r="FR1027" s="25"/>
      <c r="FS1027" s="25"/>
      <c r="FT1027" s="25"/>
      <c r="FU1027" s="25"/>
      <c r="FV1027" s="28"/>
      <c r="FW1027" s="27"/>
      <c r="FX1027" s="27"/>
      <c r="FY1027" s="25"/>
      <c r="FZ1027" s="25"/>
      <c r="GA1027" s="25"/>
      <c r="GB1027" s="25"/>
      <c r="GC1027" s="25"/>
      <c r="GD1027" s="25"/>
      <c r="GE1027" s="25"/>
      <c r="GF1027" s="25"/>
      <c r="GG1027" s="25"/>
      <c r="GH1027" s="25"/>
      <c r="GI1027" s="25"/>
      <c r="GJ1027" s="25"/>
      <c r="GK1027" s="25"/>
      <c r="GL1027" s="25"/>
      <c r="GM1027" s="25"/>
      <c r="GN1027" s="25"/>
      <c r="GO1027" s="25"/>
      <c r="GP1027" s="25"/>
      <c r="GQ1027" s="25"/>
      <c r="GR1027" s="25"/>
      <c r="GS1027" s="25"/>
      <c r="GT1027" s="25"/>
      <c r="GU1027" s="25"/>
      <c r="GV1027" s="25"/>
      <c r="GW1027" s="25"/>
      <c r="GX1027" s="25"/>
      <c r="GY1027" s="25"/>
      <c r="GZ1027" s="25"/>
      <c r="HA1027" s="25"/>
      <c r="HB1027" s="25"/>
      <c r="HC1027" s="25"/>
      <c r="HD1027" s="25"/>
      <c r="HE1027" s="25"/>
      <c r="HF1027" s="25"/>
      <c r="HG1027" s="25"/>
      <c r="HH1027" s="25"/>
      <c r="HI1027" s="25"/>
      <c r="HJ1027" s="25"/>
      <c r="HK1027" s="25"/>
      <c r="HL1027" s="25"/>
    </row>
    <row r="1028" spans="1:220" ht="15.75" customHeight="1" x14ac:dyDescent="0.2">
      <c r="A1028" s="25"/>
      <c r="B1028" s="29"/>
      <c r="C1028" s="26"/>
      <c r="D1028" s="29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  <c r="CA1028" s="25"/>
      <c r="CB1028" s="25"/>
      <c r="CC1028" s="25"/>
      <c r="CD1028" s="25"/>
      <c r="CE1028" s="25"/>
      <c r="CF1028" s="25"/>
      <c r="CG1028" s="25"/>
      <c r="CH1028" s="25"/>
      <c r="CI1028" s="25"/>
      <c r="CJ1028" s="25"/>
      <c r="CK1028" s="25"/>
      <c r="CL1028" s="25"/>
      <c r="CM1028" s="25"/>
      <c r="CN1028" s="25"/>
      <c r="CO1028" s="25"/>
      <c r="CP1028" s="25"/>
      <c r="CQ1028" s="25"/>
      <c r="CR1028" s="25"/>
      <c r="CS1028" s="25"/>
      <c r="CT1028" s="25"/>
      <c r="CU1028" s="25"/>
      <c r="CV1028" s="25"/>
      <c r="CW1028" s="25"/>
      <c r="CX1028" s="25"/>
      <c r="CY1028" s="25"/>
      <c r="CZ1028" s="25"/>
      <c r="DA1028" s="25"/>
      <c r="DB1028" s="25"/>
      <c r="DC1028" s="25"/>
      <c r="DD1028" s="25"/>
      <c r="DE1028" s="25"/>
      <c r="DF1028" s="25"/>
      <c r="DG1028" s="25"/>
      <c r="DH1028" s="25"/>
      <c r="DI1028" s="25"/>
      <c r="DJ1028" s="25"/>
      <c r="DK1028" s="25"/>
      <c r="DL1028" s="25"/>
      <c r="DM1028" s="25"/>
      <c r="DN1028" s="25"/>
      <c r="DO1028" s="25"/>
      <c r="DP1028" s="25"/>
      <c r="DQ1028" s="25"/>
      <c r="DR1028" s="25"/>
      <c r="DS1028" s="25"/>
      <c r="DT1028" s="25"/>
      <c r="DU1028" s="25"/>
      <c r="DV1028" s="25"/>
      <c r="DW1028" s="25"/>
      <c r="DX1028" s="25"/>
      <c r="DY1028" s="25"/>
      <c r="DZ1028" s="25"/>
      <c r="EA1028" s="25"/>
      <c r="EB1028" s="25"/>
      <c r="EC1028" s="25"/>
      <c r="ED1028" s="25"/>
      <c r="EE1028" s="25"/>
      <c r="EF1028" s="25"/>
      <c r="EG1028" s="25"/>
      <c r="EH1028" s="25"/>
      <c r="EI1028" s="25"/>
      <c r="EJ1028" s="25"/>
      <c r="EK1028" s="25"/>
      <c r="EL1028" s="25"/>
      <c r="EM1028" s="25"/>
      <c r="EN1028" s="25"/>
      <c r="EO1028" s="25"/>
      <c r="EP1028" s="25"/>
      <c r="EQ1028" s="25"/>
      <c r="ER1028" s="25"/>
      <c r="ES1028" s="25"/>
      <c r="ET1028" s="25"/>
      <c r="EU1028" s="25"/>
      <c r="EV1028" s="25"/>
      <c r="EW1028" s="25"/>
      <c r="EX1028" s="25"/>
      <c r="EY1028" s="25"/>
      <c r="EZ1028" s="25"/>
      <c r="FA1028" s="25"/>
      <c r="FB1028" s="25"/>
      <c r="FC1028" s="25"/>
      <c r="FD1028" s="25"/>
      <c r="FE1028" s="25"/>
      <c r="FF1028" s="25"/>
      <c r="FG1028" s="25"/>
      <c r="FH1028" s="25"/>
      <c r="FI1028" s="25"/>
      <c r="FJ1028" s="25"/>
      <c r="FK1028" s="25"/>
      <c r="FL1028" s="25"/>
      <c r="FM1028" s="25"/>
      <c r="FN1028" s="25"/>
      <c r="FO1028" s="25"/>
      <c r="FP1028" s="25"/>
      <c r="FQ1028" s="25"/>
      <c r="FR1028" s="25"/>
      <c r="FS1028" s="25"/>
      <c r="FT1028" s="25"/>
      <c r="FU1028" s="25"/>
      <c r="FV1028" s="28"/>
      <c r="FW1028" s="27"/>
      <c r="FX1028" s="27"/>
      <c r="FY1028" s="25"/>
      <c r="FZ1028" s="25"/>
      <c r="GA1028" s="25"/>
      <c r="GB1028" s="25"/>
      <c r="GC1028" s="25"/>
      <c r="GD1028" s="25"/>
      <c r="GE1028" s="25"/>
      <c r="GF1028" s="25"/>
      <c r="GG1028" s="25"/>
      <c r="GH1028" s="25"/>
      <c r="GI1028" s="25"/>
      <c r="GJ1028" s="25"/>
      <c r="GK1028" s="25"/>
      <c r="GL1028" s="25"/>
      <c r="GM1028" s="25"/>
      <c r="GN1028" s="25"/>
      <c r="GO1028" s="25"/>
      <c r="GP1028" s="25"/>
      <c r="GQ1028" s="25"/>
      <c r="GR1028" s="25"/>
      <c r="GS1028" s="25"/>
      <c r="GT1028" s="25"/>
      <c r="GU1028" s="25"/>
      <c r="GV1028" s="25"/>
      <c r="GW1028" s="25"/>
      <c r="GX1028" s="25"/>
      <c r="GY1028" s="25"/>
      <c r="GZ1028" s="25"/>
      <c r="HA1028" s="25"/>
      <c r="HB1028" s="25"/>
      <c r="HC1028" s="25"/>
      <c r="HD1028" s="25"/>
      <c r="HE1028" s="25"/>
      <c r="HF1028" s="25"/>
      <c r="HG1028" s="25"/>
      <c r="HH1028" s="25"/>
      <c r="HI1028" s="25"/>
      <c r="HJ1028" s="25"/>
      <c r="HK1028" s="25"/>
      <c r="HL1028" s="25"/>
    </row>
    <row r="1029" spans="1:220" ht="15.75" customHeight="1" x14ac:dyDescent="0.2">
      <c r="A1029" s="25"/>
      <c r="B1029" s="29"/>
      <c r="C1029" s="26"/>
      <c r="D1029" s="29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  <c r="CA1029" s="25"/>
      <c r="CB1029" s="25"/>
      <c r="CC1029" s="25"/>
      <c r="CD1029" s="25"/>
      <c r="CE1029" s="25"/>
      <c r="CF1029" s="25"/>
      <c r="CG1029" s="25"/>
      <c r="CH1029" s="25"/>
      <c r="CI1029" s="25"/>
      <c r="CJ1029" s="25"/>
      <c r="CK1029" s="25"/>
      <c r="CL1029" s="25"/>
      <c r="CM1029" s="25"/>
      <c r="CN1029" s="25"/>
      <c r="CO1029" s="25"/>
      <c r="CP1029" s="25"/>
      <c r="CQ1029" s="25"/>
      <c r="CR1029" s="25"/>
      <c r="CS1029" s="25"/>
      <c r="CT1029" s="25"/>
      <c r="CU1029" s="25"/>
      <c r="CV1029" s="25"/>
      <c r="CW1029" s="25"/>
      <c r="CX1029" s="25"/>
      <c r="CY1029" s="25"/>
      <c r="CZ1029" s="25"/>
      <c r="DA1029" s="25"/>
      <c r="DB1029" s="25"/>
      <c r="DC1029" s="25"/>
      <c r="DD1029" s="25"/>
      <c r="DE1029" s="25"/>
      <c r="DF1029" s="25"/>
      <c r="DG1029" s="25"/>
      <c r="DH1029" s="25"/>
      <c r="DI1029" s="25"/>
      <c r="DJ1029" s="25"/>
      <c r="DK1029" s="25"/>
      <c r="DL1029" s="25"/>
      <c r="DM1029" s="25"/>
      <c r="DN1029" s="25"/>
      <c r="DO1029" s="25"/>
      <c r="DP1029" s="25"/>
      <c r="DQ1029" s="25"/>
      <c r="DR1029" s="25"/>
      <c r="DS1029" s="25"/>
      <c r="DT1029" s="25"/>
      <c r="DU1029" s="25"/>
      <c r="DV1029" s="25"/>
      <c r="DW1029" s="25"/>
      <c r="DX1029" s="25"/>
      <c r="DY1029" s="25"/>
      <c r="DZ1029" s="25"/>
      <c r="EA1029" s="25"/>
      <c r="EB1029" s="25"/>
      <c r="EC1029" s="25"/>
      <c r="ED1029" s="25"/>
      <c r="EE1029" s="25"/>
      <c r="EF1029" s="25"/>
      <c r="EG1029" s="25"/>
      <c r="EH1029" s="25"/>
      <c r="EI1029" s="25"/>
      <c r="EJ1029" s="25"/>
      <c r="EK1029" s="25"/>
      <c r="EL1029" s="25"/>
      <c r="EM1029" s="25"/>
      <c r="EN1029" s="25"/>
      <c r="EO1029" s="25"/>
      <c r="EP1029" s="25"/>
      <c r="EQ1029" s="25"/>
      <c r="ER1029" s="25"/>
      <c r="ES1029" s="25"/>
      <c r="ET1029" s="25"/>
      <c r="EU1029" s="25"/>
      <c r="EV1029" s="25"/>
      <c r="EW1029" s="25"/>
      <c r="EX1029" s="25"/>
      <c r="EY1029" s="25"/>
      <c r="EZ1029" s="25"/>
      <c r="FA1029" s="25"/>
      <c r="FB1029" s="25"/>
      <c r="FC1029" s="25"/>
      <c r="FD1029" s="25"/>
      <c r="FE1029" s="25"/>
      <c r="FF1029" s="25"/>
      <c r="FG1029" s="25"/>
      <c r="FH1029" s="25"/>
      <c r="FI1029" s="25"/>
      <c r="FJ1029" s="25"/>
      <c r="FK1029" s="25"/>
      <c r="FL1029" s="25"/>
      <c r="FM1029" s="25"/>
      <c r="FN1029" s="25"/>
      <c r="FO1029" s="25"/>
      <c r="FP1029" s="25"/>
      <c r="FQ1029" s="25"/>
      <c r="FR1029" s="25"/>
      <c r="FS1029" s="25"/>
      <c r="FT1029" s="25"/>
      <c r="FU1029" s="25"/>
      <c r="FV1029" s="28"/>
      <c r="FW1029" s="27"/>
      <c r="FX1029" s="27"/>
      <c r="FY1029" s="25"/>
      <c r="FZ1029" s="25"/>
      <c r="GA1029" s="25"/>
      <c r="GB1029" s="25"/>
      <c r="GC1029" s="25"/>
      <c r="GD1029" s="25"/>
      <c r="GE1029" s="25"/>
      <c r="GF1029" s="25"/>
      <c r="GG1029" s="25"/>
      <c r="GH1029" s="25"/>
      <c r="GI1029" s="25"/>
      <c r="GJ1029" s="25"/>
      <c r="GK1029" s="25"/>
      <c r="GL1029" s="25"/>
      <c r="GM1029" s="25"/>
      <c r="GN1029" s="25"/>
      <c r="GO1029" s="25"/>
      <c r="GP1029" s="25"/>
      <c r="GQ1029" s="25"/>
      <c r="GR1029" s="25"/>
      <c r="GS1029" s="25"/>
      <c r="GT1029" s="25"/>
      <c r="GU1029" s="25"/>
      <c r="GV1029" s="25"/>
      <c r="GW1029" s="25"/>
      <c r="GX1029" s="25"/>
      <c r="GY1029" s="25"/>
      <c r="GZ1029" s="25"/>
      <c r="HA1029" s="25"/>
      <c r="HB1029" s="25"/>
      <c r="HC1029" s="25"/>
      <c r="HD1029" s="25"/>
      <c r="HE1029" s="25"/>
      <c r="HF1029" s="25"/>
      <c r="HG1029" s="25"/>
      <c r="HH1029" s="25"/>
      <c r="HI1029" s="25"/>
      <c r="HJ1029" s="25"/>
      <c r="HK1029" s="25"/>
      <c r="HL1029" s="25"/>
    </row>
    <row r="1030" spans="1:220" ht="15.75" customHeight="1" x14ac:dyDescent="0.2">
      <c r="A1030" s="25"/>
      <c r="B1030" s="29"/>
      <c r="C1030" s="26"/>
      <c r="D1030" s="29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  <c r="CA1030" s="25"/>
      <c r="CB1030" s="25"/>
      <c r="CC1030" s="25"/>
      <c r="CD1030" s="25"/>
      <c r="CE1030" s="25"/>
      <c r="CF1030" s="25"/>
      <c r="CG1030" s="25"/>
      <c r="CH1030" s="25"/>
      <c r="CI1030" s="25"/>
      <c r="CJ1030" s="25"/>
      <c r="CK1030" s="25"/>
      <c r="CL1030" s="25"/>
      <c r="CM1030" s="25"/>
      <c r="CN1030" s="25"/>
      <c r="CO1030" s="25"/>
      <c r="CP1030" s="25"/>
      <c r="CQ1030" s="25"/>
      <c r="CR1030" s="25"/>
      <c r="CS1030" s="25"/>
      <c r="CT1030" s="25"/>
      <c r="CU1030" s="25"/>
      <c r="CV1030" s="25"/>
      <c r="CW1030" s="25"/>
      <c r="CX1030" s="25"/>
      <c r="CY1030" s="25"/>
      <c r="CZ1030" s="25"/>
      <c r="DA1030" s="25"/>
      <c r="DB1030" s="25"/>
      <c r="DC1030" s="25"/>
      <c r="DD1030" s="25"/>
      <c r="DE1030" s="25"/>
      <c r="DF1030" s="25"/>
      <c r="DG1030" s="25"/>
      <c r="DH1030" s="25"/>
      <c r="DI1030" s="25"/>
      <c r="DJ1030" s="25"/>
      <c r="DK1030" s="25"/>
      <c r="DL1030" s="25"/>
      <c r="DM1030" s="25"/>
      <c r="DN1030" s="25"/>
      <c r="DO1030" s="25"/>
      <c r="DP1030" s="25"/>
      <c r="DQ1030" s="25"/>
      <c r="DR1030" s="25"/>
      <c r="DS1030" s="25"/>
      <c r="DT1030" s="25"/>
      <c r="DU1030" s="25"/>
      <c r="DV1030" s="25"/>
      <c r="DW1030" s="25"/>
      <c r="DX1030" s="25"/>
      <c r="DY1030" s="25"/>
      <c r="DZ1030" s="25"/>
      <c r="EA1030" s="25"/>
      <c r="EB1030" s="25"/>
      <c r="EC1030" s="25"/>
      <c r="ED1030" s="25"/>
      <c r="EE1030" s="25"/>
      <c r="EF1030" s="25"/>
      <c r="EG1030" s="25"/>
      <c r="EH1030" s="25"/>
      <c r="EI1030" s="25"/>
      <c r="EJ1030" s="25"/>
      <c r="EK1030" s="25"/>
      <c r="EL1030" s="25"/>
      <c r="EM1030" s="25"/>
      <c r="EN1030" s="25"/>
      <c r="EO1030" s="25"/>
      <c r="EP1030" s="25"/>
      <c r="EQ1030" s="25"/>
      <c r="ER1030" s="25"/>
      <c r="ES1030" s="25"/>
      <c r="ET1030" s="25"/>
      <c r="EU1030" s="25"/>
      <c r="EV1030" s="25"/>
      <c r="EW1030" s="25"/>
      <c r="EX1030" s="25"/>
      <c r="EY1030" s="25"/>
      <c r="EZ1030" s="25"/>
      <c r="FA1030" s="25"/>
      <c r="FB1030" s="25"/>
      <c r="FC1030" s="25"/>
      <c r="FD1030" s="25"/>
      <c r="FE1030" s="25"/>
      <c r="FF1030" s="25"/>
      <c r="FG1030" s="25"/>
      <c r="FH1030" s="25"/>
      <c r="FI1030" s="25"/>
      <c r="FJ1030" s="25"/>
      <c r="FK1030" s="25"/>
      <c r="FL1030" s="25"/>
      <c r="FM1030" s="25"/>
      <c r="FN1030" s="25"/>
      <c r="FO1030" s="25"/>
      <c r="FP1030" s="25"/>
      <c r="FQ1030" s="25"/>
      <c r="FR1030" s="25"/>
      <c r="FS1030" s="25"/>
      <c r="FT1030" s="25"/>
      <c r="FU1030" s="25"/>
      <c r="FV1030" s="28"/>
      <c r="FW1030" s="27"/>
      <c r="FX1030" s="27"/>
      <c r="FY1030" s="25"/>
      <c r="FZ1030" s="25"/>
      <c r="GA1030" s="25"/>
      <c r="GB1030" s="25"/>
      <c r="GC1030" s="25"/>
      <c r="GD1030" s="25"/>
      <c r="GE1030" s="25"/>
      <c r="GF1030" s="25"/>
      <c r="GG1030" s="25"/>
      <c r="GH1030" s="25"/>
      <c r="GI1030" s="25"/>
      <c r="GJ1030" s="25"/>
      <c r="GK1030" s="25"/>
      <c r="GL1030" s="25"/>
      <c r="GM1030" s="25"/>
      <c r="GN1030" s="25"/>
      <c r="GO1030" s="25"/>
      <c r="GP1030" s="25"/>
      <c r="GQ1030" s="25"/>
      <c r="GR1030" s="25"/>
      <c r="GS1030" s="25"/>
      <c r="GT1030" s="25"/>
      <c r="GU1030" s="25"/>
      <c r="GV1030" s="25"/>
      <c r="GW1030" s="25"/>
      <c r="GX1030" s="25"/>
      <c r="GY1030" s="25"/>
      <c r="GZ1030" s="25"/>
      <c r="HA1030" s="25"/>
      <c r="HB1030" s="25"/>
      <c r="HC1030" s="25"/>
      <c r="HD1030" s="25"/>
      <c r="HE1030" s="25"/>
      <c r="HF1030" s="25"/>
      <c r="HG1030" s="25"/>
      <c r="HH1030" s="25"/>
      <c r="HI1030" s="25"/>
      <c r="HJ1030" s="25"/>
      <c r="HK1030" s="25"/>
      <c r="HL1030" s="25"/>
    </row>
    <row r="1031" spans="1:220" ht="15.75" customHeight="1" x14ac:dyDescent="0.2">
      <c r="A1031" s="25"/>
      <c r="B1031" s="29"/>
      <c r="C1031" s="26"/>
      <c r="D1031" s="29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  <c r="CA1031" s="25"/>
      <c r="CB1031" s="25"/>
      <c r="CC1031" s="25"/>
      <c r="CD1031" s="25"/>
      <c r="CE1031" s="25"/>
      <c r="CF1031" s="25"/>
      <c r="CG1031" s="25"/>
      <c r="CH1031" s="25"/>
      <c r="CI1031" s="25"/>
      <c r="CJ1031" s="25"/>
      <c r="CK1031" s="25"/>
      <c r="CL1031" s="25"/>
      <c r="CM1031" s="25"/>
      <c r="CN1031" s="25"/>
      <c r="CO1031" s="25"/>
      <c r="CP1031" s="25"/>
      <c r="CQ1031" s="25"/>
      <c r="CR1031" s="25"/>
      <c r="CS1031" s="25"/>
      <c r="CT1031" s="25"/>
      <c r="CU1031" s="25"/>
      <c r="CV1031" s="25"/>
      <c r="CW1031" s="25"/>
      <c r="CX1031" s="25"/>
      <c r="CY1031" s="25"/>
      <c r="CZ1031" s="25"/>
      <c r="DA1031" s="25"/>
      <c r="DB1031" s="25"/>
      <c r="DC1031" s="25"/>
      <c r="DD1031" s="25"/>
      <c r="DE1031" s="25"/>
      <c r="DF1031" s="25"/>
      <c r="DG1031" s="25"/>
      <c r="DH1031" s="25"/>
      <c r="DI1031" s="25"/>
      <c r="DJ1031" s="25"/>
      <c r="DK1031" s="25"/>
      <c r="DL1031" s="25"/>
      <c r="DM1031" s="25"/>
      <c r="DN1031" s="25"/>
      <c r="DO1031" s="25"/>
      <c r="DP1031" s="25"/>
      <c r="DQ1031" s="25"/>
      <c r="DR1031" s="25"/>
      <c r="DS1031" s="25"/>
      <c r="DT1031" s="25"/>
      <c r="DU1031" s="25"/>
      <c r="DV1031" s="25"/>
      <c r="DW1031" s="25"/>
      <c r="DX1031" s="25"/>
      <c r="DY1031" s="25"/>
      <c r="DZ1031" s="25"/>
      <c r="EA1031" s="25"/>
      <c r="EB1031" s="25"/>
      <c r="EC1031" s="25"/>
      <c r="ED1031" s="25"/>
      <c r="EE1031" s="25"/>
      <c r="EF1031" s="25"/>
      <c r="EG1031" s="25"/>
      <c r="EH1031" s="25"/>
      <c r="EI1031" s="25"/>
      <c r="EJ1031" s="25"/>
      <c r="EK1031" s="25"/>
      <c r="EL1031" s="25"/>
      <c r="EM1031" s="25"/>
      <c r="EN1031" s="25"/>
      <c r="EO1031" s="25"/>
      <c r="EP1031" s="25"/>
      <c r="EQ1031" s="25"/>
      <c r="ER1031" s="25"/>
      <c r="ES1031" s="25"/>
      <c r="ET1031" s="25"/>
      <c r="EU1031" s="25"/>
      <c r="EV1031" s="25"/>
      <c r="EW1031" s="25"/>
      <c r="EX1031" s="25"/>
      <c r="EY1031" s="25"/>
      <c r="EZ1031" s="25"/>
      <c r="FA1031" s="25"/>
      <c r="FB1031" s="25"/>
      <c r="FC1031" s="25"/>
      <c r="FD1031" s="25"/>
      <c r="FE1031" s="25"/>
      <c r="FF1031" s="25"/>
      <c r="FG1031" s="25"/>
      <c r="FH1031" s="25"/>
      <c r="FI1031" s="25"/>
      <c r="FJ1031" s="25"/>
      <c r="FK1031" s="25"/>
      <c r="FL1031" s="25"/>
      <c r="FM1031" s="25"/>
      <c r="FN1031" s="25"/>
      <c r="FO1031" s="25"/>
      <c r="FP1031" s="25"/>
      <c r="FQ1031" s="25"/>
      <c r="FR1031" s="25"/>
      <c r="FS1031" s="25"/>
      <c r="FT1031" s="25"/>
      <c r="FU1031" s="25"/>
      <c r="FV1031" s="28"/>
      <c r="FW1031" s="27"/>
      <c r="FX1031" s="27"/>
      <c r="FY1031" s="25"/>
      <c r="FZ1031" s="25"/>
      <c r="GA1031" s="25"/>
      <c r="GB1031" s="25"/>
      <c r="GC1031" s="25"/>
      <c r="GD1031" s="25"/>
      <c r="GE1031" s="25"/>
      <c r="GF1031" s="25"/>
      <c r="GG1031" s="25"/>
      <c r="GH1031" s="25"/>
      <c r="GI1031" s="25"/>
      <c r="GJ1031" s="25"/>
      <c r="GK1031" s="25"/>
      <c r="GL1031" s="25"/>
      <c r="GM1031" s="25"/>
      <c r="GN1031" s="25"/>
      <c r="GO1031" s="25"/>
      <c r="GP1031" s="25"/>
      <c r="GQ1031" s="25"/>
      <c r="GR1031" s="25"/>
      <c r="GS1031" s="25"/>
      <c r="GT1031" s="25"/>
      <c r="GU1031" s="25"/>
      <c r="GV1031" s="25"/>
      <c r="GW1031" s="25"/>
      <c r="GX1031" s="25"/>
      <c r="GY1031" s="25"/>
      <c r="GZ1031" s="25"/>
      <c r="HA1031" s="25"/>
      <c r="HB1031" s="25"/>
      <c r="HC1031" s="25"/>
      <c r="HD1031" s="25"/>
      <c r="HE1031" s="25"/>
      <c r="HF1031" s="25"/>
      <c r="HG1031" s="25"/>
      <c r="HH1031" s="25"/>
      <c r="HI1031" s="25"/>
      <c r="HJ1031" s="25"/>
      <c r="HK1031" s="25"/>
      <c r="HL1031" s="25"/>
    </row>
    <row r="1032" spans="1:220" ht="15.75" customHeight="1" x14ac:dyDescent="0.2">
      <c r="A1032" s="25"/>
      <c r="B1032" s="29"/>
      <c r="C1032" s="26"/>
      <c r="D1032" s="29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  <c r="CA1032" s="25"/>
      <c r="CB1032" s="25"/>
      <c r="CC1032" s="25"/>
      <c r="CD1032" s="25"/>
      <c r="CE1032" s="25"/>
      <c r="CF1032" s="25"/>
      <c r="CG1032" s="25"/>
      <c r="CH1032" s="25"/>
      <c r="CI1032" s="25"/>
      <c r="CJ1032" s="25"/>
      <c r="CK1032" s="25"/>
      <c r="CL1032" s="25"/>
      <c r="CM1032" s="25"/>
      <c r="CN1032" s="25"/>
      <c r="CO1032" s="25"/>
      <c r="CP1032" s="25"/>
      <c r="CQ1032" s="25"/>
      <c r="CR1032" s="25"/>
      <c r="CS1032" s="25"/>
      <c r="CT1032" s="25"/>
      <c r="CU1032" s="25"/>
      <c r="CV1032" s="25"/>
      <c r="CW1032" s="25"/>
      <c r="CX1032" s="25"/>
      <c r="CY1032" s="25"/>
      <c r="CZ1032" s="25"/>
      <c r="DA1032" s="25"/>
      <c r="DB1032" s="25"/>
      <c r="DC1032" s="25"/>
      <c r="DD1032" s="25"/>
      <c r="DE1032" s="25"/>
      <c r="DF1032" s="25"/>
      <c r="DG1032" s="25"/>
      <c r="DH1032" s="25"/>
      <c r="DI1032" s="25"/>
      <c r="DJ1032" s="25"/>
      <c r="DK1032" s="25"/>
      <c r="DL1032" s="25"/>
      <c r="DM1032" s="25"/>
      <c r="DN1032" s="25"/>
      <c r="DO1032" s="25"/>
      <c r="DP1032" s="25"/>
      <c r="DQ1032" s="25"/>
      <c r="DR1032" s="25"/>
      <c r="DS1032" s="25"/>
      <c r="DT1032" s="25"/>
      <c r="DU1032" s="25"/>
      <c r="DV1032" s="25"/>
      <c r="DW1032" s="25"/>
      <c r="DX1032" s="25"/>
      <c r="DY1032" s="25"/>
      <c r="DZ1032" s="25"/>
      <c r="EA1032" s="25"/>
      <c r="EB1032" s="25"/>
      <c r="EC1032" s="25"/>
      <c r="ED1032" s="25"/>
      <c r="EE1032" s="25"/>
      <c r="EF1032" s="25"/>
      <c r="EG1032" s="25"/>
      <c r="EH1032" s="25"/>
      <c r="EI1032" s="25"/>
      <c r="EJ1032" s="25"/>
      <c r="EK1032" s="25"/>
      <c r="EL1032" s="25"/>
      <c r="EM1032" s="25"/>
      <c r="EN1032" s="25"/>
      <c r="EO1032" s="25"/>
      <c r="EP1032" s="25"/>
      <c r="EQ1032" s="25"/>
      <c r="ER1032" s="25"/>
      <c r="ES1032" s="25"/>
      <c r="ET1032" s="25"/>
      <c r="EU1032" s="25"/>
      <c r="EV1032" s="25"/>
      <c r="EW1032" s="25"/>
      <c r="EX1032" s="25"/>
      <c r="EY1032" s="25"/>
      <c r="EZ1032" s="25"/>
      <c r="FA1032" s="25"/>
      <c r="FB1032" s="25"/>
      <c r="FC1032" s="25"/>
      <c r="FD1032" s="25"/>
      <c r="FE1032" s="25"/>
      <c r="FF1032" s="25"/>
      <c r="FG1032" s="25"/>
      <c r="FH1032" s="25"/>
      <c r="FI1032" s="25"/>
      <c r="FJ1032" s="25"/>
      <c r="FK1032" s="25"/>
      <c r="FL1032" s="25"/>
      <c r="FM1032" s="25"/>
      <c r="FN1032" s="25"/>
      <c r="FO1032" s="25"/>
      <c r="FP1032" s="25"/>
      <c r="FQ1032" s="25"/>
      <c r="FR1032" s="25"/>
      <c r="FS1032" s="25"/>
      <c r="FT1032" s="25"/>
      <c r="FU1032" s="25"/>
      <c r="FV1032" s="28"/>
      <c r="FW1032" s="27"/>
      <c r="FX1032" s="27"/>
      <c r="FY1032" s="25"/>
      <c r="FZ1032" s="25"/>
      <c r="GA1032" s="25"/>
      <c r="GB1032" s="25"/>
      <c r="GC1032" s="25"/>
      <c r="GD1032" s="25"/>
      <c r="GE1032" s="25"/>
      <c r="GF1032" s="25"/>
      <c r="GG1032" s="25"/>
      <c r="GH1032" s="25"/>
      <c r="GI1032" s="25"/>
      <c r="GJ1032" s="25"/>
      <c r="GK1032" s="25"/>
      <c r="GL1032" s="25"/>
      <c r="GM1032" s="25"/>
      <c r="GN1032" s="25"/>
      <c r="GO1032" s="25"/>
      <c r="GP1032" s="25"/>
      <c r="GQ1032" s="25"/>
      <c r="GR1032" s="25"/>
      <c r="GS1032" s="25"/>
      <c r="GT1032" s="25"/>
      <c r="GU1032" s="25"/>
      <c r="GV1032" s="25"/>
      <c r="GW1032" s="25"/>
      <c r="GX1032" s="25"/>
      <c r="GY1032" s="25"/>
      <c r="GZ1032" s="25"/>
      <c r="HA1032" s="25"/>
      <c r="HB1032" s="25"/>
      <c r="HC1032" s="25"/>
      <c r="HD1032" s="25"/>
      <c r="HE1032" s="25"/>
      <c r="HF1032" s="25"/>
      <c r="HG1032" s="25"/>
      <c r="HH1032" s="25"/>
      <c r="HI1032" s="25"/>
      <c r="HJ1032" s="25"/>
      <c r="HK1032" s="25"/>
      <c r="HL1032" s="25"/>
    </row>
    <row r="1033" spans="1:220" ht="15.75" customHeight="1" x14ac:dyDescent="0.2">
      <c r="A1033" s="25"/>
      <c r="B1033" s="29"/>
      <c r="C1033" s="26"/>
      <c r="D1033" s="29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  <c r="CA1033" s="25"/>
      <c r="CB1033" s="25"/>
      <c r="CC1033" s="25"/>
      <c r="CD1033" s="25"/>
      <c r="CE1033" s="25"/>
      <c r="CF1033" s="25"/>
      <c r="CG1033" s="25"/>
      <c r="CH1033" s="25"/>
      <c r="CI1033" s="25"/>
      <c r="CJ1033" s="25"/>
      <c r="CK1033" s="25"/>
      <c r="CL1033" s="25"/>
      <c r="CM1033" s="25"/>
      <c r="CN1033" s="25"/>
      <c r="CO1033" s="25"/>
      <c r="CP1033" s="25"/>
      <c r="CQ1033" s="25"/>
      <c r="CR1033" s="25"/>
      <c r="CS1033" s="25"/>
      <c r="CT1033" s="25"/>
      <c r="CU1033" s="25"/>
      <c r="CV1033" s="25"/>
      <c r="CW1033" s="25"/>
      <c r="CX1033" s="25"/>
      <c r="CY1033" s="25"/>
      <c r="CZ1033" s="25"/>
      <c r="DA1033" s="25"/>
      <c r="DB1033" s="25"/>
      <c r="DC1033" s="25"/>
      <c r="DD1033" s="25"/>
      <c r="DE1033" s="25"/>
      <c r="DF1033" s="25"/>
      <c r="DG1033" s="25"/>
      <c r="DH1033" s="25"/>
      <c r="DI1033" s="25"/>
      <c r="DJ1033" s="25"/>
      <c r="DK1033" s="25"/>
      <c r="DL1033" s="25"/>
      <c r="DM1033" s="25"/>
      <c r="DN1033" s="25"/>
      <c r="DO1033" s="25"/>
      <c r="DP1033" s="25"/>
      <c r="DQ1033" s="25"/>
      <c r="DR1033" s="25"/>
      <c r="DS1033" s="25"/>
      <c r="DT1033" s="25"/>
      <c r="DU1033" s="25"/>
      <c r="DV1033" s="25"/>
      <c r="DW1033" s="25"/>
      <c r="DX1033" s="25"/>
      <c r="DY1033" s="25"/>
      <c r="DZ1033" s="25"/>
      <c r="EA1033" s="25"/>
      <c r="EB1033" s="25"/>
      <c r="EC1033" s="25"/>
      <c r="ED1033" s="25"/>
      <c r="EE1033" s="25"/>
      <c r="EF1033" s="25"/>
      <c r="EG1033" s="25"/>
      <c r="EH1033" s="25"/>
      <c r="EI1033" s="25"/>
      <c r="EJ1033" s="25"/>
      <c r="EK1033" s="25"/>
      <c r="EL1033" s="25"/>
      <c r="EM1033" s="25"/>
      <c r="EN1033" s="25"/>
      <c r="EO1033" s="25"/>
      <c r="EP1033" s="25"/>
      <c r="EQ1033" s="25"/>
      <c r="ER1033" s="25"/>
      <c r="ES1033" s="25"/>
      <c r="ET1033" s="25"/>
      <c r="EU1033" s="25"/>
      <c r="EV1033" s="25"/>
      <c r="EW1033" s="25"/>
      <c r="EX1033" s="25"/>
      <c r="EY1033" s="25"/>
      <c r="EZ1033" s="25"/>
      <c r="FA1033" s="25"/>
      <c r="FB1033" s="25"/>
      <c r="FC1033" s="25"/>
      <c r="FD1033" s="25"/>
      <c r="FE1033" s="25"/>
      <c r="FF1033" s="25"/>
      <c r="FG1033" s="25"/>
      <c r="FH1033" s="25"/>
      <c r="FI1033" s="25"/>
      <c r="FJ1033" s="25"/>
      <c r="FK1033" s="25"/>
      <c r="FL1033" s="25"/>
      <c r="FM1033" s="25"/>
      <c r="FN1033" s="25"/>
      <c r="FO1033" s="25"/>
      <c r="FP1033" s="25"/>
      <c r="FQ1033" s="25"/>
      <c r="FR1033" s="25"/>
      <c r="FS1033" s="25"/>
      <c r="FT1033" s="25"/>
      <c r="FU1033" s="25"/>
      <c r="FV1033" s="28"/>
      <c r="FW1033" s="27"/>
      <c r="FX1033" s="27"/>
      <c r="FY1033" s="25"/>
      <c r="FZ1033" s="25"/>
      <c r="GA1033" s="25"/>
      <c r="GB1033" s="25"/>
      <c r="GC1033" s="25"/>
      <c r="GD1033" s="25"/>
      <c r="GE1033" s="25"/>
      <c r="GF1033" s="25"/>
      <c r="GG1033" s="25"/>
      <c r="GH1033" s="25"/>
      <c r="GI1033" s="25"/>
      <c r="GJ1033" s="25"/>
      <c r="GK1033" s="25"/>
      <c r="GL1033" s="25"/>
      <c r="GM1033" s="25"/>
      <c r="GN1033" s="25"/>
      <c r="GO1033" s="25"/>
      <c r="GP1033" s="25"/>
      <c r="GQ1033" s="25"/>
      <c r="GR1033" s="25"/>
      <c r="GS1033" s="25"/>
      <c r="GT1033" s="25"/>
      <c r="GU1033" s="25"/>
      <c r="GV1033" s="25"/>
      <c r="GW1033" s="25"/>
      <c r="GX1033" s="25"/>
      <c r="GY1033" s="25"/>
      <c r="GZ1033" s="25"/>
      <c r="HA1033" s="25"/>
      <c r="HB1033" s="25"/>
      <c r="HC1033" s="25"/>
      <c r="HD1033" s="25"/>
      <c r="HE1033" s="25"/>
      <c r="HF1033" s="25"/>
      <c r="HG1033" s="25"/>
      <c r="HH1033" s="25"/>
      <c r="HI1033" s="25"/>
      <c r="HJ1033" s="25"/>
      <c r="HK1033" s="25"/>
      <c r="HL1033" s="25"/>
    </row>
    <row r="1034" spans="1:220" ht="15.75" customHeight="1" x14ac:dyDescent="0.2">
      <c r="A1034" s="25"/>
      <c r="B1034" s="29"/>
      <c r="C1034" s="26"/>
      <c r="D1034" s="29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  <c r="CA1034" s="25"/>
      <c r="CB1034" s="25"/>
      <c r="CC1034" s="25"/>
      <c r="CD1034" s="25"/>
      <c r="CE1034" s="25"/>
      <c r="CF1034" s="25"/>
      <c r="CG1034" s="25"/>
      <c r="CH1034" s="25"/>
      <c r="CI1034" s="25"/>
      <c r="CJ1034" s="25"/>
      <c r="CK1034" s="25"/>
      <c r="CL1034" s="25"/>
      <c r="CM1034" s="25"/>
      <c r="CN1034" s="25"/>
      <c r="CO1034" s="25"/>
      <c r="CP1034" s="25"/>
      <c r="CQ1034" s="25"/>
      <c r="CR1034" s="25"/>
      <c r="CS1034" s="25"/>
      <c r="CT1034" s="25"/>
      <c r="CU1034" s="25"/>
      <c r="CV1034" s="25"/>
      <c r="CW1034" s="25"/>
      <c r="CX1034" s="25"/>
      <c r="CY1034" s="25"/>
      <c r="CZ1034" s="25"/>
      <c r="DA1034" s="25"/>
      <c r="DB1034" s="25"/>
      <c r="DC1034" s="25"/>
      <c r="DD1034" s="25"/>
      <c r="DE1034" s="25"/>
      <c r="DF1034" s="25"/>
      <c r="DG1034" s="25"/>
      <c r="DH1034" s="25"/>
      <c r="DI1034" s="25"/>
      <c r="DJ1034" s="25"/>
      <c r="DK1034" s="25"/>
      <c r="DL1034" s="25"/>
      <c r="DM1034" s="25"/>
      <c r="DN1034" s="25"/>
      <c r="DO1034" s="25"/>
      <c r="DP1034" s="25"/>
      <c r="DQ1034" s="25"/>
      <c r="DR1034" s="25"/>
      <c r="DS1034" s="25"/>
      <c r="DT1034" s="25"/>
      <c r="DU1034" s="25"/>
      <c r="DV1034" s="25"/>
      <c r="DW1034" s="25"/>
      <c r="DX1034" s="25"/>
      <c r="DY1034" s="25"/>
      <c r="DZ1034" s="25"/>
      <c r="EA1034" s="25"/>
      <c r="EB1034" s="25"/>
      <c r="EC1034" s="25"/>
      <c r="ED1034" s="25"/>
      <c r="EE1034" s="25"/>
      <c r="EF1034" s="25"/>
      <c r="EG1034" s="25"/>
      <c r="EH1034" s="25"/>
      <c r="EI1034" s="25"/>
      <c r="EJ1034" s="25"/>
      <c r="EK1034" s="25"/>
      <c r="EL1034" s="25"/>
      <c r="EM1034" s="25"/>
      <c r="EN1034" s="25"/>
      <c r="EO1034" s="25"/>
      <c r="EP1034" s="25"/>
      <c r="EQ1034" s="25"/>
      <c r="ER1034" s="25"/>
      <c r="ES1034" s="25"/>
      <c r="ET1034" s="25"/>
      <c r="EU1034" s="25"/>
      <c r="EV1034" s="25"/>
      <c r="EW1034" s="25"/>
      <c r="EX1034" s="25"/>
      <c r="EY1034" s="25"/>
      <c r="EZ1034" s="25"/>
      <c r="FA1034" s="25"/>
      <c r="FB1034" s="25"/>
      <c r="FC1034" s="25"/>
      <c r="FD1034" s="25"/>
      <c r="FE1034" s="25"/>
      <c r="FF1034" s="25"/>
      <c r="FG1034" s="25"/>
      <c r="FH1034" s="25"/>
      <c r="FI1034" s="25"/>
      <c r="FJ1034" s="25"/>
      <c r="FK1034" s="25"/>
      <c r="FL1034" s="25"/>
      <c r="FM1034" s="25"/>
      <c r="FN1034" s="25"/>
      <c r="FO1034" s="25"/>
      <c r="FP1034" s="25"/>
      <c r="FQ1034" s="25"/>
      <c r="FR1034" s="25"/>
      <c r="FS1034" s="25"/>
      <c r="FT1034" s="25"/>
      <c r="FU1034" s="25"/>
      <c r="FV1034" s="28"/>
      <c r="FW1034" s="27"/>
      <c r="FX1034" s="27"/>
      <c r="FY1034" s="25"/>
      <c r="FZ1034" s="25"/>
      <c r="GA1034" s="25"/>
      <c r="GB1034" s="25"/>
      <c r="GC1034" s="25"/>
      <c r="GD1034" s="25"/>
      <c r="GE1034" s="25"/>
      <c r="GF1034" s="25"/>
      <c r="GG1034" s="25"/>
      <c r="GH1034" s="25"/>
      <c r="GI1034" s="25"/>
      <c r="GJ1034" s="25"/>
      <c r="GK1034" s="25"/>
      <c r="GL1034" s="25"/>
      <c r="GM1034" s="25"/>
      <c r="GN1034" s="25"/>
      <c r="GO1034" s="25"/>
      <c r="GP1034" s="25"/>
      <c r="GQ1034" s="25"/>
      <c r="GR1034" s="25"/>
      <c r="GS1034" s="25"/>
      <c r="GT1034" s="25"/>
      <c r="GU1034" s="25"/>
      <c r="GV1034" s="25"/>
      <c r="GW1034" s="25"/>
      <c r="GX1034" s="25"/>
      <c r="GY1034" s="25"/>
      <c r="GZ1034" s="25"/>
      <c r="HA1034" s="25"/>
      <c r="HB1034" s="25"/>
      <c r="HC1034" s="25"/>
      <c r="HD1034" s="25"/>
      <c r="HE1034" s="25"/>
      <c r="HF1034" s="25"/>
      <c r="HG1034" s="25"/>
      <c r="HH1034" s="25"/>
      <c r="HI1034" s="25"/>
      <c r="HJ1034" s="25"/>
      <c r="HK1034" s="25"/>
      <c r="HL1034" s="25"/>
    </row>
    <row r="1035" spans="1:220" ht="15.75" customHeight="1" x14ac:dyDescent="0.2">
      <c r="A1035" s="25"/>
      <c r="B1035" s="29"/>
      <c r="C1035" s="26"/>
      <c r="D1035" s="29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  <c r="CA1035" s="25"/>
      <c r="CB1035" s="25"/>
      <c r="CC1035" s="25"/>
      <c r="CD1035" s="25"/>
      <c r="CE1035" s="25"/>
      <c r="CF1035" s="25"/>
      <c r="CG1035" s="25"/>
      <c r="CH1035" s="25"/>
      <c r="CI1035" s="25"/>
      <c r="CJ1035" s="25"/>
      <c r="CK1035" s="25"/>
      <c r="CL1035" s="25"/>
      <c r="CM1035" s="25"/>
      <c r="CN1035" s="25"/>
      <c r="CO1035" s="25"/>
      <c r="CP1035" s="25"/>
      <c r="CQ1035" s="25"/>
      <c r="CR1035" s="25"/>
      <c r="CS1035" s="25"/>
      <c r="CT1035" s="25"/>
      <c r="CU1035" s="25"/>
      <c r="CV1035" s="25"/>
      <c r="CW1035" s="25"/>
      <c r="CX1035" s="25"/>
      <c r="CY1035" s="25"/>
      <c r="CZ1035" s="25"/>
      <c r="DA1035" s="25"/>
      <c r="DB1035" s="25"/>
      <c r="DC1035" s="25"/>
      <c r="DD1035" s="25"/>
      <c r="DE1035" s="25"/>
      <c r="DF1035" s="25"/>
      <c r="DG1035" s="25"/>
      <c r="DH1035" s="25"/>
      <c r="DI1035" s="25"/>
      <c r="DJ1035" s="25"/>
      <c r="DK1035" s="25"/>
      <c r="DL1035" s="25"/>
      <c r="DM1035" s="25"/>
      <c r="DN1035" s="25"/>
      <c r="DO1035" s="25"/>
      <c r="DP1035" s="25"/>
      <c r="DQ1035" s="25"/>
      <c r="DR1035" s="25"/>
      <c r="DS1035" s="25"/>
      <c r="DT1035" s="25"/>
      <c r="DU1035" s="25"/>
      <c r="DV1035" s="25"/>
      <c r="DW1035" s="25"/>
      <c r="DX1035" s="25"/>
      <c r="DY1035" s="25"/>
      <c r="DZ1035" s="25"/>
      <c r="EA1035" s="25"/>
      <c r="EB1035" s="25"/>
      <c r="EC1035" s="25"/>
      <c r="ED1035" s="25"/>
      <c r="EE1035" s="25"/>
      <c r="EF1035" s="25"/>
      <c r="EG1035" s="25"/>
      <c r="EH1035" s="25"/>
      <c r="EI1035" s="25"/>
      <c r="EJ1035" s="25"/>
      <c r="EK1035" s="25"/>
      <c r="EL1035" s="25"/>
      <c r="EM1035" s="25"/>
      <c r="EN1035" s="25"/>
      <c r="EO1035" s="25"/>
      <c r="EP1035" s="25"/>
      <c r="EQ1035" s="25"/>
      <c r="ER1035" s="25"/>
      <c r="ES1035" s="25"/>
      <c r="ET1035" s="25"/>
      <c r="EU1035" s="25"/>
      <c r="EV1035" s="25"/>
      <c r="EW1035" s="25"/>
      <c r="EX1035" s="25"/>
      <c r="EY1035" s="25"/>
      <c r="EZ1035" s="25"/>
      <c r="FA1035" s="25"/>
      <c r="FB1035" s="25"/>
      <c r="FC1035" s="25"/>
      <c r="FD1035" s="25"/>
      <c r="FE1035" s="25"/>
      <c r="FF1035" s="25"/>
      <c r="FG1035" s="25"/>
      <c r="FH1035" s="25"/>
      <c r="FI1035" s="25"/>
      <c r="FJ1035" s="25"/>
      <c r="FK1035" s="25"/>
      <c r="FL1035" s="25"/>
      <c r="FM1035" s="25"/>
      <c r="FN1035" s="25"/>
      <c r="FO1035" s="25"/>
      <c r="FP1035" s="25"/>
      <c r="FQ1035" s="25"/>
      <c r="FR1035" s="25"/>
      <c r="FS1035" s="25"/>
      <c r="FT1035" s="25"/>
      <c r="FU1035" s="25"/>
      <c r="FV1035" s="28"/>
      <c r="FW1035" s="27"/>
      <c r="FX1035" s="27"/>
      <c r="FY1035" s="25"/>
      <c r="FZ1035" s="25"/>
      <c r="GA1035" s="25"/>
      <c r="GB1035" s="25"/>
      <c r="GC1035" s="25"/>
      <c r="GD1035" s="25"/>
      <c r="GE1035" s="25"/>
      <c r="GF1035" s="25"/>
      <c r="GG1035" s="25"/>
      <c r="GH1035" s="25"/>
      <c r="GI1035" s="25"/>
      <c r="GJ1035" s="25"/>
      <c r="GK1035" s="25"/>
      <c r="GL1035" s="25"/>
      <c r="GM1035" s="25"/>
      <c r="GN1035" s="25"/>
      <c r="GO1035" s="25"/>
      <c r="GP1035" s="25"/>
      <c r="GQ1035" s="25"/>
      <c r="GR1035" s="25"/>
      <c r="GS1035" s="25"/>
      <c r="GT1035" s="25"/>
      <c r="GU1035" s="25"/>
      <c r="GV1035" s="25"/>
      <c r="GW1035" s="25"/>
      <c r="GX1035" s="25"/>
      <c r="GY1035" s="25"/>
      <c r="GZ1035" s="25"/>
      <c r="HA1035" s="25"/>
      <c r="HB1035" s="25"/>
      <c r="HC1035" s="25"/>
      <c r="HD1035" s="25"/>
      <c r="HE1035" s="25"/>
      <c r="HF1035" s="25"/>
      <c r="HG1035" s="25"/>
      <c r="HH1035" s="25"/>
      <c r="HI1035" s="25"/>
      <c r="HJ1035" s="25"/>
      <c r="HK1035" s="25"/>
      <c r="HL1035" s="25"/>
    </row>
    <row r="1036" spans="1:220" ht="15.75" customHeight="1" x14ac:dyDescent="0.2">
      <c r="A1036" s="25"/>
      <c r="B1036" s="29"/>
      <c r="C1036" s="26"/>
      <c r="D1036" s="29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  <c r="CA1036" s="25"/>
      <c r="CB1036" s="25"/>
      <c r="CC1036" s="25"/>
      <c r="CD1036" s="25"/>
      <c r="CE1036" s="25"/>
      <c r="CF1036" s="25"/>
      <c r="CG1036" s="25"/>
      <c r="CH1036" s="25"/>
      <c r="CI1036" s="25"/>
      <c r="CJ1036" s="25"/>
      <c r="CK1036" s="25"/>
      <c r="CL1036" s="25"/>
      <c r="CM1036" s="25"/>
      <c r="CN1036" s="25"/>
      <c r="CO1036" s="25"/>
      <c r="CP1036" s="25"/>
      <c r="CQ1036" s="25"/>
      <c r="CR1036" s="25"/>
      <c r="CS1036" s="25"/>
      <c r="CT1036" s="25"/>
      <c r="CU1036" s="25"/>
      <c r="CV1036" s="25"/>
      <c r="CW1036" s="25"/>
      <c r="CX1036" s="25"/>
      <c r="CY1036" s="25"/>
      <c r="CZ1036" s="25"/>
      <c r="DA1036" s="25"/>
      <c r="DB1036" s="25"/>
      <c r="DC1036" s="25"/>
      <c r="DD1036" s="25"/>
      <c r="DE1036" s="25"/>
      <c r="DF1036" s="25"/>
      <c r="DG1036" s="25"/>
      <c r="DH1036" s="25"/>
      <c r="DI1036" s="25"/>
      <c r="DJ1036" s="25"/>
      <c r="DK1036" s="25"/>
      <c r="DL1036" s="25"/>
      <c r="DM1036" s="25"/>
      <c r="DN1036" s="25"/>
      <c r="DO1036" s="25"/>
      <c r="DP1036" s="25"/>
      <c r="DQ1036" s="25"/>
      <c r="DR1036" s="25"/>
      <c r="DS1036" s="25"/>
      <c r="DT1036" s="25"/>
      <c r="DU1036" s="25"/>
      <c r="DV1036" s="25"/>
      <c r="DW1036" s="25"/>
      <c r="DX1036" s="25"/>
      <c r="DY1036" s="25"/>
      <c r="DZ1036" s="25"/>
      <c r="EA1036" s="25"/>
      <c r="EB1036" s="25"/>
      <c r="EC1036" s="25"/>
      <c r="ED1036" s="25"/>
      <c r="EE1036" s="25"/>
      <c r="EF1036" s="25"/>
      <c r="EG1036" s="25"/>
      <c r="EH1036" s="25"/>
      <c r="EI1036" s="25"/>
      <c r="EJ1036" s="25"/>
      <c r="EK1036" s="25"/>
      <c r="EL1036" s="25"/>
      <c r="EM1036" s="25"/>
      <c r="EN1036" s="25"/>
      <c r="EO1036" s="25"/>
      <c r="EP1036" s="25"/>
      <c r="EQ1036" s="25"/>
      <c r="ER1036" s="25"/>
      <c r="ES1036" s="25"/>
      <c r="ET1036" s="25"/>
      <c r="EU1036" s="25"/>
      <c r="EV1036" s="25"/>
      <c r="EW1036" s="25"/>
      <c r="EX1036" s="25"/>
      <c r="EY1036" s="25"/>
      <c r="EZ1036" s="25"/>
      <c r="FA1036" s="25"/>
      <c r="FB1036" s="25"/>
      <c r="FC1036" s="25"/>
      <c r="FD1036" s="25"/>
      <c r="FE1036" s="25"/>
      <c r="FF1036" s="25"/>
      <c r="FG1036" s="25"/>
      <c r="FH1036" s="25"/>
      <c r="FI1036" s="25"/>
      <c r="FJ1036" s="25"/>
      <c r="FK1036" s="25"/>
      <c r="FL1036" s="25"/>
      <c r="FM1036" s="25"/>
      <c r="FN1036" s="25"/>
      <c r="FO1036" s="25"/>
      <c r="FP1036" s="25"/>
      <c r="FQ1036" s="25"/>
      <c r="FR1036" s="25"/>
      <c r="FS1036" s="25"/>
      <c r="FT1036" s="25"/>
      <c r="FU1036" s="25"/>
      <c r="FV1036" s="28"/>
      <c r="FW1036" s="27"/>
      <c r="FX1036" s="27"/>
      <c r="FY1036" s="25"/>
      <c r="FZ1036" s="25"/>
      <c r="GA1036" s="25"/>
      <c r="GB1036" s="25"/>
      <c r="GC1036" s="25"/>
      <c r="GD1036" s="25"/>
      <c r="GE1036" s="25"/>
      <c r="GF1036" s="25"/>
      <c r="GG1036" s="25"/>
      <c r="GH1036" s="25"/>
      <c r="GI1036" s="25"/>
      <c r="GJ1036" s="25"/>
      <c r="GK1036" s="25"/>
      <c r="GL1036" s="25"/>
      <c r="GM1036" s="25"/>
      <c r="GN1036" s="25"/>
      <c r="GO1036" s="25"/>
      <c r="GP1036" s="25"/>
      <c r="GQ1036" s="25"/>
      <c r="GR1036" s="25"/>
      <c r="GS1036" s="25"/>
      <c r="GT1036" s="25"/>
      <c r="GU1036" s="25"/>
      <c r="GV1036" s="25"/>
      <c r="GW1036" s="25"/>
      <c r="GX1036" s="25"/>
      <c r="GY1036" s="25"/>
      <c r="GZ1036" s="25"/>
      <c r="HA1036" s="25"/>
      <c r="HB1036" s="25"/>
      <c r="HC1036" s="25"/>
      <c r="HD1036" s="25"/>
      <c r="HE1036" s="25"/>
      <c r="HF1036" s="25"/>
      <c r="HG1036" s="25"/>
      <c r="HH1036" s="25"/>
      <c r="HI1036" s="25"/>
      <c r="HJ1036" s="25"/>
      <c r="HK1036" s="25"/>
      <c r="HL1036" s="25"/>
    </row>
    <row r="1037" spans="1:220" ht="15.75" customHeight="1" x14ac:dyDescent="0.2">
      <c r="A1037" s="25"/>
      <c r="B1037" s="29"/>
      <c r="C1037" s="26"/>
      <c r="D1037" s="29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  <c r="CA1037" s="25"/>
      <c r="CB1037" s="25"/>
      <c r="CC1037" s="25"/>
      <c r="CD1037" s="25"/>
      <c r="CE1037" s="25"/>
      <c r="CF1037" s="25"/>
      <c r="CG1037" s="25"/>
      <c r="CH1037" s="25"/>
      <c r="CI1037" s="25"/>
      <c r="CJ1037" s="25"/>
      <c r="CK1037" s="25"/>
      <c r="CL1037" s="25"/>
      <c r="CM1037" s="25"/>
      <c r="CN1037" s="25"/>
      <c r="CO1037" s="25"/>
      <c r="CP1037" s="25"/>
      <c r="CQ1037" s="25"/>
      <c r="CR1037" s="25"/>
      <c r="CS1037" s="25"/>
      <c r="CT1037" s="25"/>
      <c r="CU1037" s="25"/>
      <c r="CV1037" s="25"/>
      <c r="CW1037" s="25"/>
      <c r="CX1037" s="25"/>
      <c r="CY1037" s="25"/>
      <c r="CZ1037" s="25"/>
      <c r="DA1037" s="25"/>
      <c r="DB1037" s="25"/>
      <c r="DC1037" s="25"/>
      <c r="DD1037" s="25"/>
      <c r="DE1037" s="25"/>
      <c r="DF1037" s="25"/>
      <c r="DG1037" s="25"/>
      <c r="DH1037" s="25"/>
      <c r="DI1037" s="25"/>
      <c r="DJ1037" s="25"/>
      <c r="DK1037" s="25"/>
      <c r="DL1037" s="25"/>
      <c r="DM1037" s="25"/>
      <c r="DN1037" s="25"/>
      <c r="DO1037" s="25"/>
      <c r="DP1037" s="25"/>
      <c r="DQ1037" s="25"/>
      <c r="DR1037" s="25"/>
      <c r="DS1037" s="25"/>
      <c r="DT1037" s="25"/>
      <c r="DU1037" s="25"/>
      <c r="DV1037" s="25"/>
      <c r="DW1037" s="25"/>
      <c r="DX1037" s="25"/>
      <c r="DY1037" s="25"/>
      <c r="DZ1037" s="25"/>
      <c r="EA1037" s="25"/>
      <c r="EB1037" s="25"/>
      <c r="EC1037" s="25"/>
      <c r="ED1037" s="25"/>
      <c r="EE1037" s="25"/>
      <c r="EF1037" s="25"/>
      <c r="EG1037" s="25"/>
      <c r="EH1037" s="25"/>
      <c r="EI1037" s="25"/>
      <c r="EJ1037" s="25"/>
      <c r="EK1037" s="25"/>
      <c r="EL1037" s="25"/>
      <c r="EM1037" s="25"/>
      <c r="EN1037" s="25"/>
      <c r="EO1037" s="25"/>
      <c r="EP1037" s="25"/>
      <c r="EQ1037" s="25"/>
      <c r="ER1037" s="25"/>
      <c r="ES1037" s="25"/>
      <c r="ET1037" s="25"/>
      <c r="EU1037" s="25"/>
      <c r="EV1037" s="25"/>
      <c r="EW1037" s="25"/>
      <c r="EX1037" s="25"/>
      <c r="EY1037" s="25"/>
      <c r="EZ1037" s="25"/>
      <c r="FA1037" s="25"/>
      <c r="FB1037" s="25"/>
      <c r="FC1037" s="25"/>
      <c r="FD1037" s="25"/>
      <c r="FE1037" s="25"/>
      <c r="FF1037" s="25"/>
      <c r="FG1037" s="25"/>
      <c r="FH1037" s="25"/>
      <c r="FI1037" s="25"/>
      <c r="FJ1037" s="25"/>
      <c r="FK1037" s="25"/>
      <c r="FL1037" s="25"/>
      <c r="FM1037" s="25"/>
      <c r="FN1037" s="25"/>
      <c r="FO1037" s="25"/>
      <c r="FP1037" s="25"/>
      <c r="FQ1037" s="25"/>
      <c r="FR1037" s="25"/>
      <c r="FS1037" s="25"/>
      <c r="FT1037" s="25"/>
      <c r="FU1037" s="25"/>
      <c r="FV1037" s="28"/>
      <c r="FW1037" s="27"/>
      <c r="FX1037" s="27"/>
      <c r="FY1037" s="25"/>
      <c r="FZ1037" s="25"/>
      <c r="GA1037" s="25"/>
      <c r="GB1037" s="25"/>
      <c r="GC1037" s="25"/>
      <c r="GD1037" s="25"/>
      <c r="GE1037" s="25"/>
      <c r="GF1037" s="25"/>
      <c r="GG1037" s="25"/>
      <c r="GH1037" s="25"/>
      <c r="GI1037" s="25"/>
      <c r="GJ1037" s="25"/>
      <c r="GK1037" s="25"/>
      <c r="GL1037" s="25"/>
      <c r="GM1037" s="25"/>
      <c r="GN1037" s="25"/>
      <c r="GO1037" s="25"/>
      <c r="GP1037" s="25"/>
      <c r="GQ1037" s="25"/>
      <c r="GR1037" s="25"/>
      <c r="GS1037" s="25"/>
      <c r="GT1037" s="25"/>
      <c r="GU1037" s="25"/>
      <c r="GV1037" s="25"/>
      <c r="GW1037" s="25"/>
      <c r="GX1037" s="25"/>
      <c r="GY1037" s="25"/>
      <c r="GZ1037" s="25"/>
      <c r="HA1037" s="25"/>
      <c r="HB1037" s="25"/>
      <c r="HC1037" s="25"/>
      <c r="HD1037" s="25"/>
      <c r="HE1037" s="25"/>
      <c r="HF1037" s="25"/>
      <c r="HG1037" s="25"/>
      <c r="HH1037" s="25"/>
      <c r="HI1037" s="25"/>
      <c r="HJ1037" s="25"/>
      <c r="HK1037" s="25"/>
      <c r="HL1037" s="25"/>
    </row>
    <row r="1038" spans="1:220" ht="15.75" customHeight="1" x14ac:dyDescent="0.2">
      <c r="A1038" s="25"/>
      <c r="B1038" s="29"/>
      <c r="C1038" s="26"/>
      <c r="D1038" s="29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  <c r="CA1038" s="25"/>
      <c r="CB1038" s="25"/>
      <c r="CC1038" s="25"/>
      <c r="CD1038" s="25"/>
      <c r="CE1038" s="25"/>
      <c r="CF1038" s="25"/>
      <c r="CG1038" s="25"/>
      <c r="CH1038" s="25"/>
      <c r="CI1038" s="25"/>
      <c r="CJ1038" s="25"/>
      <c r="CK1038" s="25"/>
      <c r="CL1038" s="25"/>
      <c r="CM1038" s="25"/>
      <c r="CN1038" s="25"/>
      <c r="CO1038" s="25"/>
      <c r="CP1038" s="25"/>
      <c r="CQ1038" s="25"/>
      <c r="CR1038" s="25"/>
      <c r="CS1038" s="25"/>
      <c r="CT1038" s="25"/>
      <c r="CU1038" s="25"/>
      <c r="CV1038" s="25"/>
      <c r="CW1038" s="25"/>
      <c r="CX1038" s="25"/>
      <c r="CY1038" s="25"/>
      <c r="CZ1038" s="25"/>
      <c r="DA1038" s="25"/>
      <c r="DB1038" s="25"/>
      <c r="DC1038" s="25"/>
      <c r="DD1038" s="25"/>
      <c r="DE1038" s="25"/>
      <c r="DF1038" s="25"/>
      <c r="DG1038" s="25"/>
      <c r="DH1038" s="25"/>
      <c r="DI1038" s="25"/>
      <c r="DJ1038" s="25"/>
      <c r="DK1038" s="25"/>
      <c r="DL1038" s="25"/>
      <c r="DM1038" s="25"/>
      <c r="DN1038" s="25"/>
      <c r="DO1038" s="25"/>
      <c r="DP1038" s="25"/>
      <c r="DQ1038" s="25"/>
      <c r="DR1038" s="25"/>
      <c r="DS1038" s="25"/>
      <c r="DT1038" s="25"/>
      <c r="DU1038" s="25"/>
      <c r="DV1038" s="25"/>
      <c r="DW1038" s="25"/>
      <c r="DX1038" s="25"/>
      <c r="DY1038" s="25"/>
      <c r="DZ1038" s="25"/>
      <c r="EA1038" s="25"/>
      <c r="EB1038" s="25"/>
      <c r="EC1038" s="25"/>
      <c r="ED1038" s="25"/>
      <c r="EE1038" s="25"/>
      <c r="EF1038" s="25"/>
      <c r="EG1038" s="25"/>
      <c r="EH1038" s="25"/>
      <c r="EI1038" s="25"/>
      <c r="EJ1038" s="25"/>
      <c r="EK1038" s="25"/>
      <c r="EL1038" s="25"/>
      <c r="EM1038" s="25"/>
      <c r="EN1038" s="25"/>
      <c r="EO1038" s="25"/>
      <c r="EP1038" s="25"/>
      <c r="EQ1038" s="25"/>
      <c r="ER1038" s="25"/>
      <c r="ES1038" s="25"/>
      <c r="ET1038" s="25"/>
      <c r="EU1038" s="25"/>
      <c r="EV1038" s="25"/>
      <c r="EW1038" s="25"/>
      <c r="EX1038" s="25"/>
      <c r="EY1038" s="25"/>
      <c r="EZ1038" s="25"/>
      <c r="FA1038" s="25"/>
      <c r="FB1038" s="25"/>
      <c r="FC1038" s="25"/>
      <c r="FD1038" s="25"/>
      <c r="FE1038" s="25"/>
      <c r="FF1038" s="25"/>
      <c r="FG1038" s="25"/>
      <c r="FH1038" s="25"/>
      <c r="FI1038" s="25"/>
      <c r="FJ1038" s="25"/>
      <c r="FK1038" s="25"/>
      <c r="FL1038" s="25"/>
      <c r="FM1038" s="25"/>
      <c r="FN1038" s="25"/>
      <c r="FO1038" s="25"/>
      <c r="FP1038" s="25"/>
      <c r="FQ1038" s="25"/>
      <c r="FR1038" s="25"/>
      <c r="FS1038" s="25"/>
      <c r="FT1038" s="25"/>
      <c r="FU1038" s="25"/>
      <c r="FV1038" s="28"/>
      <c r="FW1038" s="27"/>
      <c r="FX1038" s="27"/>
      <c r="FY1038" s="25"/>
      <c r="FZ1038" s="25"/>
      <c r="GA1038" s="25"/>
      <c r="GB1038" s="25"/>
      <c r="GC1038" s="25"/>
      <c r="GD1038" s="25"/>
      <c r="GE1038" s="25"/>
      <c r="GF1038" s="25"/>
      <c r="GG1038" s="25"/>
      <c r="GH1038" s="25"/>
      <c r="GI1038" s="25"/>
      <c r="GJ1038" s="25"/>
      <c r="GK1038" s="25"/>
      <c r="GL1038" s="25"/>
      <c r="GM1038" s="25"/>
      <c r="GN1038" s="25"/>
      <c r="GO1038" s="25"/>
      <c r="GP1038" s="25"/>
      <c r="GQ1038" s="25"/>
      <c r="GR1038" s="25"/>
      <c r="GS1038" s="25"/>
      <c r="GT1038" s="25"/>
      <c r="GU1038" s="25"/>
      <c r="GV1038" s="25"/>
      <c r="GW1038" s="25"/>
      <c r="GX1038" s="25"/>
      <c r="GY1038" s="25"/>
      <c r="GZ1038" s="25"/>
      <c r="HA1038" s="25"/>
      <c r="HB1038" s="25"/>
      <c r="HC1038" s="25"/>
      <c r="HD1038" s="25"/>
      <c r="HE1038" s="25"/>
      <c r="HF1038" s="25"/>
      <c r="HG1038" s="25"/>
      <c r="HH1038" s="25"/>
      <c r="HI1038" s="25"/>
      <c r="HJ1038" s="25"/>
      <c r="HK1038" s="25"/>
      <c r="HL1038" s="25"/>
    </row>
    <row r="1039" spans="1:220" ht="15.75" customHeight="1" x14ac:dyDescent="0.2">
      <c r="A1039" s="25"/>
      <c r="B1039" s="29"/>
      <c r="C1039" s="26"/>
      <c r="D1039" s="29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  <c r="CA1039" s="25"/>
      <c r="CB1039" s="25"/>
      <c r="CC1039" s="25"/>
      <c r="CD1039" s="25"/>
      <c r="CE1039" s="25"/>
      <c r="CF1039" s="25"/>
      <c r="CG1039" s="25"/>
      <c r="CH1039" s="25"/>
      <c r="CI1039" s="25"/>
      <c r="CJ1039" s="25"/>
      <c r="CK1039" s="25"/>
      <c r="CL1039" s="25"/>
      <c r="CM1039" s="25"/>
      <c r="CN1039" s="25"/>
      <c r="CO1039" s="25"/>
      <c r="CP1039" s="25"/>
      <c r="CQ1039" s="25"/>
      <c r="CR1039" s="25"/>
      <c r="CS1039" s="25"/>
      <c r="CT1039" s="25"/>
      <c r="CU1039" s="25"/>
      <c r="CV1039" s="25"/>
      <c r="CW1039" s="25"/>
      <c r="CX1039" s="25"/>
      <c r="CY1039" s="25"/>
      <c r="CZ1039" s="25"/>
      <c r="DA1039" s="25"/>
      <c r="DB1039" s="25"/>
      <c r="DC1039" s="25"/>
      <c r="DD1039" s="25"/>
      <c r="DE1039" s="25"/>
      <c r="DF1039" s="25"/>
      <c r="DG1039" s="25"/>
      <c r="DH1039" s="25"/>
      <c r="DI1039" s="25"/>
      <c r="DJ1039" s="25"/>
      <c r="DK1039" s="25"/>
      <c r="DL1039" s="25"/>
      <c r="DM1039" s="25"/>
      <c r="DN1039" s="25"/>
      <c r="DO1039" s="25"/>
      <c r="DP1039" s="25"/>
      <c r="DQ1039" s="25"/>
      <c r="DR1039" s="25"/>
      <c r="DS1039" s="25"/>
      <c r="DT1039" s="25"/>
      <c r="DU1039" s="25"/>
      <c r="DV1039" s="25"/>
      <c r="DW1039" s="25"/>
      <c r="DX1039" s="25"/>
      <c r="DY1039" s="25"/>
      <c r="DZ1039" s="25"/>
      <c r="EA1039" s="25"/>
      <c r="EB1039" s="25"/>
      <c r="EC1039" s="25"/>
      <c r="ED1039" s="25"/>
      <c r="EE1039" s="25"/>
      <c r="EF1039" s="25"/>
      <c r="EG1039" s="25"/>
      <c r="EH1039" s="25"/>
      <c r="EI1039" s="25"/>
      <c r="EJ1039" s="25"/>
      <c r="EK1039" s="25"/>
      <c r="EL1039" s="25"/>
      <c r="EM1039" s="25"/>
      <c r="EN1039" s="25"/>
      <c r="EO1039" s="25"/>
      <c r="EP1039" s="25"/>
      <c r="EQ1039" s="25"/>
      <c r="ER1039" s="25"/>
      <c r="ES1039" s="25"/>
      <c r="ET1039" s="25"/>
      <c r="EU1039" s="25"/>
      <c r="EV1039" s="25"/>
      <c r="EW1039" s="25"/>
      <c r="EX1039" s="25"/>
      <c r="EY1039" s="25"/>
      <c r="EZ1039" s="25"/>
      <c r="FA1039" s="25"/>
      <c r="FB1039" s="25"/>
      <c r="FC1039" s="25"/>
      <c r="FD1039" s="25"/>
      <c r="FE1039" s="25"/>
      <c r="FF1039" s="25"/>
      <c r="FG1039" s="25"/>
      <c r="FH1039" s="25"/>
      <c r="FI1039" s="25"/>
      <c r="FJ1039" s="25"/>
      <c r="FK1039" s="25"/>
      <c r="FL1039" s="25"/>
      <c r="FM1039" s="25"/>
      <c r="FN1039" s="25"/>
      <c r="FO1039" s="25"/>
      <c r="FP1039" s="25"/>
      <c r="FQ1039" s="25"/>
      <c r="FR1039" s="25"/>
      <c r="FS1039" s="25"/>
      <c r="FT1039" s="25"/>
      <c r="FU1039" s="25"/>
      <c r="FV1039" s="28"/>
      <c r="FW1039" s="27"/>
      <c r="FX1039" s="27"/>
      <c r="FY1039" s="25"/>
      <c r="FZ1039" s="25"/>
      <c r="GA1039" s="25"/>
      <c r="GB1039" s="25"/>
      <c r="GC1039" s="25"/>
      <c r="GD1039" s="25"/>
      <c r="GE1039" s="25"/>
      <c r="GF1039" s="25"/>
      <c r="GG1039" s="25"/>
      <c r="GH1039" s="25"/>
      <c r="GI1039" s="25"/>
      <c r="GJ1039" s="25"/>
      <c r="GK1039" s="25"/>
      <c r="GL1039" s="25"/>
      <c r="GM1039" s="25"/>
      <c r="GN1039" s="25"/>
      <c r="GO1039" s="25"/>
      <c r="GP1039" s="25"/>
      <c r="GQ1039" s="25"/>
      <c r="GR1039" s="25"/>
      <c r="GS1039" s="25"/>
      <c r="GT1039" s="25"/>
      <c r="GU1039" s="25"/>
      <c r="GV1039" s="25"/>
      <c r="GW1039" s="25"/>
      <c r="GX1039" s="25"/>
      <c r="GY1039" s="25"/>
      <c r="GZ1039" s="25"/>
      <c r="HA1039" s="25"/>
      <c r="HB1039" s="25"/>
      <c r="HC1039" s="25"/>
      <c r="HD1039" s="25"/>
      <c r="HE1039" s="25"/>
      <c r="HF1039" s="25"/>
      <c r="HG1039" s="25"/>
      <c r="HH1039" s="25"/>
      <c r="HI1039" s="25"/>
      <c r="HJ1039" s="25"/>
      <c r="HK1039" s="25"/>
      <c r="HL1039" s="25"/>
    </row>
    <row r="1040" spans="1:220" ht="15.75" customHeight="1" x14ac:dyDescent="0.2">
      <c r="A1040" s="25"/>
      <c r="B1040" s="29"/>
      <c r="C1040" s="26"/>
      <c r="D1040" s="29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  <c r="CA1040" s="25"/>
      <c r="CB1040" s="25"/>
      <c r="CC1040" s="25"/>
      <c r="CD1040" s="25"/>
      <c r="CE1040" s="25"/>
      <c r="CF1040" s="25"/>
      <c r="CG1040" s="25"/>
      <c r="CH1040" s="25"/>
      <c r="CI1040" s="25"/>
      <c r="CJ1040" s="25"/>
      <c r="CK1040" s="25"/>
      <c r="CL1040" s="25"/>
      <c r="CM1040" s="25"/>
      <c r="CN1040" s="25"/>
      <c r="CO1040" s="25"/>
      <c r="CP1040" s="25"/>
      <c r="CQ1040" s="25"/>
      <c r="CR1040" s="25"/>
      <c r="CS1040" s="25"/>
      <c r="CT1040" s="25"/>
      <c r="CU1040" s="25"/>
      <c r="CV1040" s="25"/>
      <c r="CW1040" s="25"/>
      <c r="CX1040" s="25"/>
      <c r="CY1040" s="25"/>
      <c r="CZ1040" s="25"/>
      <c r="DA1040" s="25"/>
      <c r="DB1040" s="25"/>
      <c r="DC1040" s="25"/>
      <c r="DD1040" s="25"/>
      <c r="DE1040" s="25"/>
      <c r="DF1040" s="25"/>
      <c r="DG1040" s="25"/>
      <c r="DH1040" s="25"/>
      <c r="DI1040" s="25"/>
      <c r="DJ1040" s="25"/>
      <c r="DK1040" s="25"/>
      <c r="DL1040" s="25"/>
      <c r="DM1040" s="25"/>
      <c r="DN1040" s="25"/>
      <c r="DO1040" s="25"/>
      <c r="DP1040" s="25"/>
      <c r="DQ1040" s="25"/>
      <c r="DR1040" s="25"/>
      <c r="DS1040" s="25"/>
      <c r="DT1040" s="25"/>
      <c r="DU1040" s="25"/>
      <c r="DV1040" s="25"/>
      <c r="DW1040" s="25"/>
      <c r="DX1040" s="25"/>
      <c r="DY1040" s="25"/>
      <c r="DZ1040" s="25"/>
      <c r="EA1040" s="25"/>
      <c r="EB1040" s="25"/>
      <c r="EC1040" s="25"/>
      <c r="ED1040" s="25"/>
      <c r="EE1040" s="25"/>
      <c r="EF1040" s="25"/>
      <c r="EG1040" s="25"/>
      <c r="EH1040" s="25"/>
      <c r="EI1040" s="25"/>
      <c r="EJ1040" s="25"/>
      <c r="EK1040" s="25"/>
      <c r="EL1040" s="25"/>
      <c r="EM1040" s="25"/>
      <c r="EN1040" s="25"/>
      <c r="EO1040" s="25"/>
      <c r="EP1040" s="25"/>
      <c r="EQ1040" s="25"/>
      <c r="ER1040" s="25"/>
      <c r="ES1040" s="25"/>
      <c r="ET1040" s="25"/>
      <c r="EU1040" s="25"/>
      <c r="EV1040" s="25"/>
      <c r="EW1040" s="25"/>
      <c r="EX1040" s="25"/>
      <c r="EY1040" s="25"/>
      <c r="EZ1040" s="25"/>
      <c r="FA1040" s="25"/>
      <c r="FB1040" s="25"/>
      <c r="FC1040" s="25"/>
      <c r="FD1040" s="25"/>
      <c r="FE1040" s="25"/>
      <c r="FF1040" s="25"/>
      <c r="FG1040" s="25"/>
      <c r="FH1040" s="25"/>
      <c r="FI1040" s="25"/>
      <c r="FJ1040" s="25"/>
      <c r="FK1040" s="25"/>
      <c r="FL1040" s="25"/>
      <c r="FM1040" s="25"/>
      <c r="FN1040" s="25"/>
      <c r="FO1040" s="25"/>
      <c r="FP1040" s="25"/>
      <c r="FQ1040" s="25"/>
      <c r="FR1040" s="25"/>
      <c r="FS1040" s="25"/>
      <c r="FT1040" s="25"/>
      <c r="FU1040" s="25"/>
      <c r="FV1040" s="28"/>
      <c r="FW1040" s="27"/>
      <c r="FX1040" s="27"/>
      <c r="FY1040" s="25"/>
      <c r="FZ1040" s="25"/>
      <c r="GA1040" s="25"/>
      <c r="GB1040" s="25"/>
      <c r="GC1040" s="25"/>
      <c r="GD1040" s="25"/>
      <c r="GE1040" s="25"/>
      <c r="GF1040" s="25"/>
      <c r="GG1040" s="25"/>
      <c r="GH1040" s="25"/>
      <c r="GI1040" s="25"/>
      <c r="GJ1040" s="25"/>
      <c r="GK1040" s="25"/>
      <c r="GL1040" s="25"/>
      <c r="GM1040" s="25"/>
      <c r="GN1040" s="25"/>
      <c r="GO1040" s="25"/>
      <c r="GP1040" s="25"/>
      <c r="GQ1040" s="25"/>
      <c r="GR1040" s="25"/>
      <c r="GS1040" s="25"/>
      <c r="GT1040" s="25"/>
      <c r="GU1040" s="25"/>
      <c r="GV1040" s="25"/>
      <c r="GW1040" s="25"/>
      <c r="GX1040" s="25"/>
      <c r="GY1040" s="25"/>
      <c r="GZ1040" s="25"/>
      <c r="HA1040" s="25"/>
      <c r="HB1040" s="25"/>
      <c r="HC1040" s="25"/>
      <c r="HD1040" s="25"/>
      <c r="HE1040" s="25"/>
      <c r="HF1040" s="25"/>
      <c r="HG1040" s="25"/>
      <c r="HH1040" s="25"/>
      <c r="HI1040" s="25"/>
      <c r="HJ1040" s="25"/>
      <c r="HK1040" s="25"/>
      <c r="HL1040" s="25"/>
    </row>
    <row r="1041" spans="1:220" ht="15.75" customHeight="1" x14ac:dyDescent="0.2">
      <c r="A1041" s="25"/>
      <c r="B1041" s="29"/>
      <c r="C1041" s="26"/>
      <c r="D1041" s="29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  <c r="CA1041" s="25"/>
      <c r="CB1041" s="25"/>
      <c r="CC1041" s="25"/>
      <c r="CD1041" s="25"/>
      <c r="CE1041" s="25"/>
      <c r="CF1041" s="25"/>
      <c r="CG1041" s="25"/>
      <c r="CH1041" s="25"/>
      <c r="CI1041" s="25"/>
      <c r="CJ1041" s="25"/>
      <c r="CK1041" s="25"/>
      <c r="CL1041" s="25"/>
      <c r="CM1041" s="25"/>
      <c r="CN1041" s="25"/>
      <c r="CO1041" s="25"/>
      <c r="CP1041" s="25"/>
      <c r="CQ1041" s="25"/>
      <c r="CR1041" s="25"/>
      <c r="CS1041" s="25"/>
      <c r="CT1041" s="25"/>
      <c r="CU1041" s="25"/>
      <c r="CV1041" s="25"/>
      <c r="CW1041" s="25"/>
      <c r="CX1041" s="25"/>
      <c r="CY1041" s="25"/>
      <c r="CZ1041" s="25"/>
      <c r="DA1041" s="25"/>
      <c r="DB1041" s="25"/>
      <c r="DC1041" s="25"/>
      <c r="DD1041" s="25"/>
      <c r="DE1041" s="25"/>
      <c r="DF1041" s="25"/>
      <c r="DG1041" s="25"/>
      <c r="DH1041" s="25"/>
      <c r="DI1041" s="25"/>
      <c r="DJ1041" s="25"/>
      <c r="DK1041" s="25"/>
      <c r="DL1041" s="25"/>
      <c r="DM1041" s="25"/>
      <c r="DN1041" s="25"/>
      <c r="DO1041" s="25"/>
      <c r="DP1041" s="25"/>
      <c r="DQ1041" s="25"/>
      <c r="DR1041" s="25"/>
      <c r="DS1041" s="25"/>
      <c r="DT1041" s="25"/>
      <c r="DU1041" s="25"/>
      <c r="DV1041" s="25"/>
      <c r="DW1041" s="25"/>
      <c r="DX1041" s="25"/>
      <c r="DY1041" s="25"/>
      <c r="DZ1041" s="25"/>
      <c r="EA1041" s="25"/>
      <c r="EB1041" s="25"/>
      <c r="EC1041" s="25"/>
      <c r="ED1041" s="25"/>
      <c r="EE1041" s="25"/>
      <c r="EF1041" s="25"/>
      <c r="EG1041" s="25"/>
      <c r="EH1041" s="25"/>
      <c r="EI1041" s="25"/>
      <c r="EJ1041" s="25"/>
      <c r="EK1041" s="25"/>
      <c r="EL1041" s="25"/>
      <c r="EM1041" s="25"/>
      <c r="EN1041" s="25"/>
      <c r="EO1041" s="25"/>
      <c r="EP1041" s="25"/>
      <c r="EQ1041" s="25"/>
      <c r="ER1041" s="25"/>
      <c r="ES1041" s="25"/>
      <c r="ET1041" s="25"/>
      <c r="EU1041" s="25"/>
      <c r="EV1041" s="25"/>
      <c r="EW1041" s="25"/>
      <c r="EX1041" s="25"/>
      <c r="EY1041" s="25"/>
      <c r="EZ1041" s="25"/>
      <c r="FA1041" s="25"/>
      <c r="FB1041" s="25"/>
      <c r="FC1041" s="25"/>
      <c r="FD1041" s="25"/>
      <c r="FE1041" s="25"/>
      <c r="FF1041" s="25"/>
      <c r="FG1041" s="25"/>
      <c r="FH1041" s="25"/>
      <c r="FI1041" s="25"/>
      <c r="FJ1041" s="25"/>
      <c r="FK1041" s="25"/>
      <c r="FL1041" s="25"/>
      <c r="FM1041" s="25"/>
      <c r="FN1041" s="25"/>
      <c r="FO1041" s="25"/>
      <c r="FP1041" s="25"/>
      <c r="FQ1041" s="25"/>
      <c r="FR1041" s="25"/>
      <c r="FS1041" s="25"/>
      <c r="FT1041" s="25"/>
      <c r="FU1041" s="25"/>
      <c r="FV1041" s="28"/>
      <c r="FW1041" s="27"/>
      <c r="FX1041" s="27"/>
      <c r="FY1041" s="25"/>
      <c r="FZ1041" s="25"/>
      <c r="GA1041" s="25"/>
      <c r="GB1041" s="25"/>
      <c r="GC1041" s="25"/>
      <c r="GD1041" s="25"/>
      <c r="GE1041" s="25"/>
      <c r="GF1041" s="25"/>
      <c r="GG1041" s="25"/>
      <c r="GH1041" s="25"/>
      <c r="GI1041" s="25"/>
      <c r="GJ1041" s="25"/>
      <c r="GK1041" s="25"/>
      <c r="GL1041" s="25"/>
      <c r="GM1041" s="25"/>
      <c r="GN1041" s="25"/>
      <c r="GO1041" s="25"/>
      <c r="GP1041" s="25"/>
      <c r="GQ1041" s="25"/>
      <c r="GR1041" s="25"/>
      <c r="GS1041" s="25"/>
      <c r="GT1041" s="25"/>
      <c r="GU1041" s="25"/>
      <c r="GV1041" s="25"/>
      <c r="GW1041" s="25"/>
      <c r="GX1041" s="25"/>
      <c r="GY1041" s="25"/>
      <c r="GZ1041" s="25"/>
      <c r="HA1041" s="25"/>
      <c r="HB1041" s="25"/>
      <c r="HC1041" s="25"/>
      <c r="HD1041" s="25"/>
      <c r="HE1041" s="25"/>
      <c r="HF1041" s="25"/>
      <c r="HG1041" s="25"/>
      <c r="HH1041" s="25"/>
      <c r="HI1041" s="25"/>
      <c r="HJ1041" s="25"/>
      <c r="HK1041" s="25"/>
      <c r="HL1041" s="25"/>
    </row>
    <row r="1042" spans="1:220" ht="15.75" customHeight="1" x14ac:dyDescent="0.2">
      <c r="A1042" s="25"/>
      <c r="B1042" s="29"/>
      <c r="C1042" s="26"/>
      <c r="D1042" s="29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  <c r="CA1042" s="25"/>
      <c r="CB1042" s="25"/>
      <c r="CC1042" s="25"/>
      <c r="CD1042" s="25"/>
      <c r="CE1042" s="25"/>
      <c r="CF1042" s="25"/>
      <c r="CG1042" s="25"/>
      <c r="CH1042" s="25"/>
      <c r="CI1042" s="25"/>
      <c r="CJ1042" s="25"/>
      <c r="CK1042" s="25"/>
      <c r="CL1042" s="25"/>
      <c r="CM1042" s="25"/>
      <c r="CN1042" s="25"/>
      <c r="CO1042" s="25"/>
      <c r="CP1042" s="25"/>
      <c r="CQ1042" s="25"/>
      <c r="CR1042" s="25"/>
      <c r="CS1042" s="25"/>
      <c r="CT1042" s="25"/>
      <c r="CU1042" s="25"/>
      <c r="CV1042" s="25"/>
      <c r="CW1042" s="25"/>
      <c r="CX1042" s="25"/>
      <c r="CY1042" s="25"/>
      <c r="CZ1042" s="25"/>
      <c r="DA1042" s="25"/>
      <c r="DB1042" s="25"/>
      <c r="DC1042" s="25"/>
      <c r="DD1042" s="25"/>
      <c r="DE1042" s="25"/>
      <c r="DF1042" s="25"/>
      <c r="DG1042" s="25"/>
      <c r="DH1042" s="25"/>
      <c r="DI1042" s="25"/>
      <c r="DJ1042" s="25"/>
      <c r="DK1042" s="25"/>
      <c r="DL1042" s="25"/>
      <c r="DM1042" s="25"/>
      <c r="DN1042" s="25"/>
      <c r="DO1042" s="25"/>
      <c r="DP1042" s="25"/>
      <c r="DQ1042" s="25"/>
      <c r="DR1042" s="25"/>
      <c r="DS1042" s="25"/>
      <c r="DT1042" s="25"/>
      <c r="DU1042" s="25"/>
      <c r="DV1042" s="25"/>
      <c r="DW1042" s="25"/>
      <c r="DX1042" s="25"/>
      <c r="DY1042" s="25"/>
      <c r="DZ1042" s="25"/>
      <c r="EA1042" s="25"/>
      <c r="EB1042" s="25"/>
      <c r="EC1042" s="25"/>
      <c r="ED1042" s="25"/>
      <c r="EE1042" s="25"/>
      <c r="EF1042" s="25"/>
      <c r="EG1042" s="25"/>
      <c r="EH1042" s="25"/>
      <c r="EI1042" s="25"/>
      <c r="EJ1042" s="25"/>
      <c r="EK1042" s="25"/>
      <c r="EL1042" s="25"/>
      <c r="EM1042" s="25"/>
      <c r="EN1042" s="25"/>
      <c r="EO1042" s="25"/>
      <c r="EP1042" s="25"/>
      <c r="EQ1042" s="25"/>
      <c r="ER1042" s="25"/>
      <c r="ES1042" s="25"/>
      <c r="ET1042" s="25"/>
      <c r="EU1042" s="25"/>
      <c r="EV1042" s="25"/>
      <c r="EW1042" s="25"/>
      <c r="EX1042" s="25"/>
      <c r="EY1042" s="25"/>
      <c r="EZ1042" s="25"/>
      <c r="FA1042" s="25"/>
      <c r="FB1042" s="25"/>
      <c r="FC1042" s="25"/>
      <c r="FD1042" s="25"/>
      <c r="FE1042" s="25"/>
      <c r="FF1042" s="25"/>
      <c r="FG1042" s="25"/>
      <c r="FH1042" s="25"/>
      <c r="FI1042" s="25"/>
      <c r="FJ1042" s="25"/>
      <c r="FK1042" s="25"/>
      <c r="FL1042" s="25"/>
      <c r="FM1042" s="25"/>
      <c r="FN1042" s="25"/>
      <c r="FO1042" s="25"/>
      <c r="FP1042" s="25"/>
      <c r="FQ1042" s="25"/>
      <c r="FR1042" s="25"/>
      <c r="FS1042" s="25"/>
      <c r="FT1042" s="25"/>
      <c r="FU1042" s="25"/>
      <c r="FV1042" s="28"/>
      <c r="FW1042" s="27"/>
      <c r="FX1042" s="27"/>
      <c r="FY1042" s="25"/>
      <c r="FZ1042" s="25"/>
      <c r="GA1042" s="25"/>
      <c r="GB1042" s="25"/>
      <c r="GC1042" s="25"/>
      <c r="GD1042" s="25"/>
      <c r="GE1042" s="25"/>
      <c r="GF1042" s="25"/>
      <c r="GG1042" s="25"/>
      <c r="GH1042" s="25"/>
      <c r="GI1042" s="25"/>
      <c r="GJ1042" s="25"/>
      <c r="GK1042" s="25"/>
      <c r="GL1042" s="25"/>
      <c r="GM1042" s="25"/>
      <c r="GN1042" s="25"/>
      <c r="GO1042" s="25"/>
      <c r="GP1042" s="25"/>
      <c r="GQ1042" s="25"/>
      <c r="GR1042" s="25"/>
      <c r="GS1042" s="25"/>
      <c r="GT1042" s="25"/>
      <c r="GU1042" s="25"/>
      <c r="GV1042" s="25"/>
      <c r="GW1042" s="25"/>
      <c r="GX1042" s="25"/>
      <c r="GY1042" s="25"/>
      <c r="GZ1042" s="25"/>
      <c r="HA1042" s="25"/>
      <c r="HB1042" s="25"/>
      <c r="HC1042" s="25"/>
      <c r="HD1042" s="25"/>
      <c r="HE1042" s="25"/>
      <c r="HF1042" s="25"/>
      <c r="HG1042" s="25"/>
      <c r="HH1042" s="25"/>
      <c r="HI1042" s="25"/>
      <c r="HJ1042" s="25"/>
      <c r="HK1042" s="25"/>
      <c r="HL1042" s="25"/>
    </row>
    <row r="1043" spans="1:220" ht="15.75" customHeight="1" x14ac:dyDescent="0.2">
      <c r="A1043" s="25"/>
      <c r="B1043" s="29"/>
      <c r="C1043" s="26"/>
      <c r="D1043" s="29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  <c r="CA1043" s="25"/>
      <c r="CB1043" s="25"/>
      <c r="CC1043" s="25"/>
      <c r="CD1043" s="25"/>
      <c r="CE1043" s="25"/>
      <c r="CF1043" s="25"/>
      <c r="CG1043" s="25"/>
      <c r="CH1043" s="25"/>
      <c r="CI1043" s="25"/>
      <c r="CJ1043" s="25"/>
      <c r="CK1043" s="25"/>
      <c r="CL1043" s="25"/>
      <c r="CM1043" s="25"/>
      <c r="CN1043" s="25"/>
      <c r="CO1043" s="25"/>
      <c r="CP1043" s="25"/>
      <c r="CQ1043" s="25"/>
      <c r="CR1043" s="25"/>
      <c r="CS1043" s="25"/>
      <c r="CT1043" s="25"/>
      <c r="CU1043" s="25"/>
      <c r="CV1043" s="25"/>
      <c r="CW1043" s="25"/>
      <c r="CX1043" s="25"/>
      <c r="CY1043" s="25"/>
      <c r="CZ1043" s="25"/>
      <c r="DA1043" s="25"/>
      <c r="DB1043" s="25"/>
      <c r="DC1043" s="25"/>
      <c r="DD1043" s="25"/>
      <c r="DE1043" s="25"/>
      <c r="DF1043" s="25"/>
      <c r="DG1043" s="25"/>
      <c r="DH1043" s="25"/>
      <c r="DI1043" s="25"/>
      <c r="DJ1043" s="25"/>
      <c r="DK1043" s="25"/>
      <c r="DL1043" s="25"/>
      <c r="DM1043" s="25"/>
      <c r="DN1043" s="25"/>
      <c r="DO1043" s="25"/>
      <c r="DP1043" s="25"/>
      <c r="DQ1043" s="25"/>
      <c r="DR1043" s="25"/>
      <c r="DS1043" s="25"/>
      <c r="DT1043" s="25"/>
      <c r="DU1043" s="25"/>
      <c r="DV1043" s="25"/>
      <c r="DW1043" s="25"/>
      <c r="DX1043" s="25"/>
      <c r="DY1043" s="25"/>
      <c r="DZ1043" s="25"/>
      <c r="EA1043" s="25"/>
      <c r="EB1043" s="25"/>
      <c r="EC1043" s="25"/>
      <c r="ED1043" s="25"/>
      <c r="EE1043" s="25"/>
      <c r="EF1043" s="25"/>
      <c r="EG1043" s="25"/>
      <c r="EH1043" s="25"/>
      <c r="EI1043" s="25"/>
      <c r="EJ1043" s="25"/>
      <c r="EK1043" s="25"/>
      <c r="EL1043" s="25"/>
      <c r="EM1043" s="25"/>
      <c r="EN1043" s="25"/>
      <c r="EO1043" s="25"/>
      <c r="EP1043" s="25"/>
      <c r="EQ1043" s="25"/>
      <c r="ER1043" s="25"/>
      <c r="ES1043" s="25"/>
      <c r="ET1043" s="25"/>
      <c r="EU1043" s="25"/>
      <c r="EV1043" s="25"/>
      <c r="EW1043" s="25"/>
      <c r="EX1043" s="25"/>
      <c r="EY1043" s="25"/>
      <c r="EZ1043" s="25"/>
      <c r="FA1043" s="25"/>
      <c r="FB1043" s="25"/>
      <c r="FC1043" s="25"/>
      <c r="FD1043" s="25"/>
      <c r="FE1043" s="25"/>
      <c r="FF1043" s="25"/>
      <c r="FG1043" s="25"/>
      <c r="FH1043" s="25"/>
      <c r="FI1043" s="25"/>
      <c r="FJ1043" s="25"/>
      <c r="FK1043" s="25"/>
      <c r="FL1043" s="25"/>
      <c r="FM1043" s="25"/>
      <c r="FN1043" s="25"/>
      <c r="FO1043" s="25"/>
      <c r="FP1043" s="25"/>
      <c r="FQ1043" s="25"/>
      <c r="FR1043" s="25"/>
      <c r="FS1043" s="25"/>
      <c r="FT1043" s="25"/>
      <c r="FU1043" s="25"/>
      <c r="FV1043" s="28"/>
      <c r="FW1043" s="27"/>
      <c r="FX1043" s="27"/>
      <c r="FY1043" s="25"/>
      <c r="FZ1043" s="25"/>
      <c r="GA1043" s="25"/>
      <c r="GB1043" s="25"/>
      <c r="GC1043" s="25"/>
      <c r="GD1043" s="25"/>
      <c r="GE1043" s="25"/>
      <c r="GF1043" s="25"/>
      <c r="GG1043" s="25"/>
      <c r="GH1043" s="25"/>
      <c r="GI1043" s="25"/>
      <c r="GJ1043" s="25"/>
      <c r="GK1043" s="25"/>
      <c r="GL1043" s="25"/>
      <c r="GM1043" s="25"/>
      <c r="GN1043" s="25"/>
      <c r="GO1043" s="25"/>
      <c r="GP1043" s="25"/>
      <c r="GQ1043" s="25"/>
      <c r="GR1043" s="25"/>
      <c r="GS1043" s="25"/>
      <c r="GT1043" s="25"/>
      <c r="GU1043" s="25"/>
      <c r="GV1043" s="25"/>
      <c r="GW1043" s="25"/>
      <c r="GX1043" s="25"/>
      <c r="GY1043" s="25"/>
      <c r="GZ1043" s="25"/>
      <c r="HA1043" s="25"/>
      <c r="HB1043" s="25"/>
      <c r="HC1043" s="25"/>
      <c r="HD1043" s="25"/>
      <c r="HE1043" s="25"/>
      <c r="HF1043" s="25"/>
      <c r="HG1043" s="25"/>
      <c r="HH1043" s="25"/>
      <c r="HI1043" s="25"/>
      <c r="HJ1043" s="25"/>
      <c r="HK1043" s="25"/>
      <c r="HL1043" s="25"/>
    </row>
    <row r="1044" spans="1:220" ht="15.75" customHeight="1" x14ac:dyDescent="0.2">
      <c r="A1044" s="25"/>
      <c r="B1044" s="29"/>
      <c r="C1044" s="26"/>
      <c r="D1044" s="29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  <c r="CA1044" s="25"/>
      <c r="CB1044" s="25"/>
      <c r="CC1044" s="25"/>
      <c r="CD1044" s="25"/>
      <c r="CE1044" s="25"/>
      <c r="CF1044" s="25"/>
      <c r="CG1044" s="25"/>
      <c r="CH1044" s="25"/>
      <c r="CI1044" s="25"/>
      <c r="CJ1044" s="25"/>
      <c r="CK1044" s="25"/>
      <c r="CL1044" s="25"/>
      <c r="CM1044" s="25"/>
      <c r="CN1044" s="25"/>
      <c r="CO1044" s="25"/>
      <c r="CP1044" s="25"/>
      <c r="CQ1044" s="25"/>
      <c r="CR1044" s="25"/>
      <c r="CS1044" s="25"/>
      <c r="CT1044" s="25"/>
      <c r="CU1044" s="25"/>
      <c r="CV1044" s="25"/>
      <c r="CW1044" s="25"/>
      <c r="CX1044" s="25"/>
      <c r="CY1044" s="25"/>
      <c r="CZ1044" s="25"/>
      <c r="DA1044" s="25"/>
      <c r="DB1044" s="25"/>
      <c r="DC1044" s="25"/>
      <c r="DD1044" s="25"/>
      <c r="DE1044" s="25"/>
      <c r="DF1044" s="25"/>
      <c r="DG1044" s="25"/>
      <c r="DH1044" s="25"/>
      <c r="DI1044" s="25"/>
      <c r="DJ1044" s="25"/>
      <c r="DK1044" s="25"/>
      <c r="DL1044" s="25"/>
      <c r="DM1044" s="25"/>
      <c r="DN1044" s="25"/>
      <c r="DO1044" s="25"/>
      <c r="DP1044" s="25"/>
      <c r="DQ1044" s="25"/>
      <c r="DR1044" s="25"/>
      <c r="DS1044" s="25"/>
      <c r="DT1044" s="25"/>
      <c r="DU1044" s="25"/>
      <c r="DV1044" s="25"/>
      <c r="DW1044" s="25"/>
      <c r="DX1044" s="25"/>
      <c r="DY1044" s="25"/>
      <c r="DZ1044" s="25"/>
      <c r="EA1044" s="25"/>
      <c r="EB1044" s="25"/>
      <c r="EC1044" s="25"/>
      <c r="ED1044" s="25"/>
      <c r="EE1044" s="25"/>
      <c r="EF1044" s="25"/>
      <c r="EG1044" s="25"/>
      <c r="EH1044" s="25"/>
      <c r="EI1044" s="25"/>
      <c r="EJ1044" s="25"/>
      <c r="EK1044" s="25"/>
      <c r="EL1044" s="25"/>
      <c r="EM1044" s="25"/>
      <c r="EN1044" s="25"/>
      <c r="EO1044" s="25"/>
      <c r="EP1044" s="25"/>
      <c r="EQ1044" s="25"/>
      <c r="ER1044" s="25"/>
      <c r="ES1044" s="25"/>
      <c r="ET1044" s="25"/>
      <c r="EU1044" s="25"/>
      <c r="EV1044" s="25"/>
      <c r="EW1044" s="25"/>
      <c r="EX1044" s="25"/>
      <c r="EY1044" s="25"/>
      <c r="EZ1044" s="25"/>
      <c r="FA1044" s="25"/>
      <c r="FB1044" s="25"/>
      <c r="FC1044" s="25"/>
      <c r="FD1044" s="25"/>
      <c r="FE1044" s="25"/>
      <c r="FF1044" s="25"/>
      <c r="FG1044" s="25"/>
      <c r="FH1044" s="25"/>
      <c r="FI1044" s="25"/>
      <c r="FJ1044" s="25"/>
      <c r="FK1044" s="25"/>
      <c r="FL1044" s="25"/>
      <c r="FM1044" s="25"/>
      <c r="FN1044" s="25"/>
      <c r="FO1044" s="25"/>
      <c r="FP1044" s="25"/>
      <c r="FQ1044" s="25"/>
      <c r="FR1044" s="25"/>
      <c r="FS1044" s="25"/>
      <c r="FT1044" s="25"/>
      <c r="FU1044" s="25"/>
      <c r="FV1044" s="28"/>
      <c r="FW1044" s="27"/>
      <c r="FX1044" s="27"/>
      <c r="FY1044" s="25"/>
      <c r="FZ1044" s="25"/>
      <c r="GA1044" s="25"/>
      <c r="GB1044" s="25"/>
      <c r="GC1044" s="25"/>
      <c r="GD1044" s="25"/>
      <c r="GE1044" s="25"/>
      <c r="GF1044" s="25"/>
      <c r="GG1044" s="25"/>
      <c r="GH1044" s="25"/>
      <c r="GI1044" s="25"/>
      <c r="GJ1044" s="25"/>
      <c r="GK1044" s="25"/>
      <c r="GL1044" s="25"/>
      <c r="GM1044" s="25"/>
      <c r="GN1044" s="25"/>
      <c r="GO1044" s="25"/>
      <c r="GP1044" s="25"/>
      <c r="GQ1044" s="25"/>
      <c r="GR1044" s="25"/>
      <c r="GS1044" s="25"/>
      <c r="GT1044" s="25"/>
      <c r="GU1044" s="25"/>
      <c r="GV1044" s="25"/>
      <c r="GW1044" s="25"/>
      <c r="GX1044" s="25"/>
      <c r="GY1044" s="25"/>
      <c r="GZ1044" s="25"/>
      <c r="HA1044" s="25"/>
      <c r="HB1044" s="25"/>
      <c r="HC1044" s="25"/>
      <c r="HD1044" s="25"/>
      <c r="HE1044" s="25"/>
      <c r="HF1044" s="25"/>
      <c r="HG1044" s="25"/>
      <c r="HH1044" s="25"/>
      <c r="HI1044" s="25"/>
      <c r="HJ1044" s="25"/>
      <c r="HK1044" s="25"/>
      <c r="HL1044" s="25"/>
    </row>
    <row r="1045" spans="1:220" ht="15.75" customHeight="1" x14ac:dyDescent="0.2">
      <c r="A1045" s="25"/>
      <c r="B1045" s="29"/>
      <c r="C1045" s="26"/>
      <c r="D1045" s="29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  <c r="CA1045" s="25"/>
      <c r="CB1045" s="25"/>
      <c r="CC1045" s="25"/>
      <c r="CD1045" s="25"/>
      <c r="CE1045" s="25"/>
      <c r="CF1045" s="25"/>
      <c r="CG1045" s="25"/>
      <c r="CH1045" s="25"/>
      <c r="CI1045" s="25"/>
      <c r="CJ1045" s="25"/>
      <c r="CK1045" s="25"/>
      <c r="CL1045" s="25"/>
      <c r="CM1045" s="25"/>
      <c r="CN1045" s="25"/>
      <c r="CO1045" s="25"/>
      <c r="CP1045" s="25"/>
      <c r="CQ1045" s="25"/>
      <c r="CR1045" s="25"/>
      <c r="CS1045" s="25"/>
      <c r="CT1045" s="25"/>
      <c r="CU1045" s="25"/>
      <c r="CV1045" s="25"/>
      <c r="CW1045" s="25"/>
      <c r="CX1045" s="25"/>
      <c r="CY1045" s="25"/>
      <c r="CZ1045" s="25"/>
      <c r="DA1045" s="25"/>
      <c r="DB1045" s="25"/>
      <c r="DC1045" s="25"/>
      <c r="DD1045" s="25"/>
      <c r="DE1045" s="25"/>
      <c r="DF1045" s="25"/>
      <c r="DG1045" s="25"/>
      <c r="DH1045" s="25"/>
      <c r="DI1045" s="25"/>
      <c r="DJ1045" s="25"/>
      <c r="DK1045" s="25"/>
      <c r="DL1045" s="25"/>
      <c r="DM1045" s="25"/>
      <c r="DN1045" s="25"/>
      <c r="DO1045" s="25"/>
      <c r="DP1045" s="25"/>
      <c r="DQ1045" s="25"/>
      <c r="DR1045" s="25"/>
      <c r="DS1045" s="25"/>
      <c r="DT1045" s="25"/>
      <c r="DU1045" s="25"/>
      <c r="DV1045" s="25"/>
      <c r="DW1045" s="25"/>
      <c r="DX1045" s="25"/>
      <c r="DY1045" s="25"/>
      <c r="DZ1045" s="25"/>
      <c r="EA1045" s="25"/>
      <c r="EB1045" s="25"/>
      <c r="EC1045" s="25"/>
      <c r="ED1045" s="25"/>
      <c r="EE1045" s="25"/>
      <c r="EF1045" s="25"/>
      <c r="EG1045" s="25"/>
      <c r="EH1045" s="25"/>
      <c r="EI1045" s="25"/>
      <c r="EJ1045" s="25"/>
      <c r="EK1045" s="25"/>
      <c r="EL1045" s="25"/>
      <c r="EM1045" s="25"/>
      <c r="EN1045" s="25"/>
      <c r="EO1045" s="25"/>
      <c r="EP1045" s="25"/>
      <c r="EQ1045" s="25"/>
      <c r="ER1045" s="25"/>
      <c r="ES1045" s="25"/>
      <c r="ET1045" s="25"/>
      <c r="EU1045" s="25"/>
      <c r="EV1045" s="25"/>
      <c r="EW1045" s="25"/>
      <c r="EX1045" s="25"/>
      <c r="EY1045" s="25"/>
      <c r="EZ1045" s="25"/>
      <c r="FA1045" s="25"/>
      <c r="FB1045" s="25"/>
      <c r="FC1045" s="25"/>
      <c r="FD1045" s="25"/>
      <c r="FE1045" s="25"/>
      <c r="FF1045" s="25"/>
      <c r="FG1045" s="25"/>
      <c r="FH1045" s="25"/>
      <c r="FI1045" s="25"/>
      <c r="FJ1045" s="25"/>
      <c r="FK1045" s="25"/>
      <c r="FL1045" s="25"/>
      <c r="FM1045" s="25"/>
      <c r="FN1045" s="25"/>
      <c r="FO1045" s="25"/>
      <c r="FP1045" s="25"/>
      <c r="FQ1045" s="25"/>
      <c r="FR1045" s="25"/>
      <c r="FS1045" s="25"/>
      <c r="FT1045" s="25"/>
      <c r="FU1045" s="25"/>
      <c r="FV1045" s="28"/>
      <c r="FW1045" s="27"/>
      <c r="FX1045" s="27"/>
      <c r="FY1045" s="25"/>
      <c r="FZ1045" s="25"/>
      <c r="GA1045" s="25"/>
      <c r="GB1045" s="25"/>
      <c r="GC1045" s="25"/>
      <c r="GD1045" s="25"/>
      <c r="GE1045" s="25"/>
      <c r="GF1045" s="25"/>
      <c r="GG1045" s="25"/>
      <c r="GH1045" s="25"/>
      <c r="GI1045" s="25"/>
      <c r="GJ1045" s="25"/>
      <c r="GK1045" s="25"/>
      <c r="GL1045" s="25"/>
      <c r="GM1045" s="25"/>
      <c r="GN1045" s="25"/>
      <c r="GO1045" s="25"/>
      <c r="GP1045" s="25"/>
      <c r="GQ1045" s="25"/>
      <c r="GR1045" s="25"/>
      <c r="GS1045" s="25"/>
      <c r="GT1045" s="25"/>
      <c r="GU1045" s="25"/>
      <c r="GV1045" s="25"/>
      <c r="GW1045" s="25"/>
      <c r="GX1045" s="25"/>
      <c r="GY1045" s="25"/>
      <c r="GZ1045" s="25"/>
      <c r="HA1045" s="25"/>
      <c r="HB1045" s="25"/>
      <c r="HC1045" s="25"/>
      <c r="HD1045" s="25"/>
      <c r="HE1045" s="25"/>
      <c r="HF1045" s="25"/>
      <c r="HG1045" s="25"/>
      <c r="HH1045" s="25"/>
      <c r="HI1045" s="25"/>
      <c r="HJ1045" s="25"/>
      <c r="HK1045" s="25"/>
      <c r="HL1045" s="25"/>
    </row>
    <row r="1046" spans="1:220" ht="15.75" customHeight="1" x14ac:dyDescent="0.2">
      <c r="A1046" s="25"/>
      <c r="B1046" s="29"/>
      <c r="C1046" s="26"/>
      <c r="D1046" s="29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  <c r="CA1046" s="25"/>
      <c r="CB1046" s="25"/>
      <c r="CC1046" s="25"/>
      <c r="CD1046" s="25"/>
      <c r="CE1046" s="25"/>
      <c r="CF1046" s="25"/>
      <c r="CG1046" s="25"/>
      <c r="CH1046" s="25"/>
      <c r="CI1046" s="25"/>
      <c r="CJ1046" s="25"/>
      <c r="CK1046" s="25"/>
      <c r="CL1046" s="25"/>
      <c r="CM1046" s="25"/>
      <c r="CN1046" s="25"/>
      <c r="CO1046" s="25"/>
      <c r="CP1046" s="25"/>
      <c r="CQ1046" s="25"/>
      <c r="CR1046" s="25"/>
      <c r="CS1046" s="25"/>
      <c r="CT1046" s="25"/>
      <c r="CU1046" s="25"/>
      <c r="CV1046" s="25"/>
      <c r="CW1046" s="25"/>
      <c r="CX1046" s="25"/>
      <c r="CY1046" s="25"/>
      <c r="CZ1046" s="25"/>
      <c r="DA1046" s="25"/>
      <c r="DB1046" s="25"/>
      <c r="DC1046" s="25"/>
      <c r="DD1046" s="25"/>
      <c r="DE1046" s="25"/>
      <c r="DF1046" s="25"/>
      <c r="DG1046" s="25"/>
      <c r="DH1046" s="25"/>
      <c r="DI1046" s="25"/>
      <c r="DJ1046" s="25"/>
      <c r="DK1046" s="25"/>
      <c r="DL1046" s="25"/>
      <c r="DM1046" s="25"/>
      <c r="DN1046" s="25"/>
      <c r="DO1046" s="25"/>
      <c r="DP1046" s="25"/>
      <c r="DQ1046" s="25"/>
      <c r="DR1046" s="25"/>
      <c r="DS1046" s="25"/>
      <c r="DT1046" s="25"/>
      <c r="DU1046" s="25"/>
      <c r="DV1046" s="25"/>
      <c r="DW1046" s="25"/>
      <c r="DX1046" s="25"/>
      <c r="DY1046" s="25"/>
      <c r="DZ1046" s="25"/>
      <c r="EA1046" s="25"/>
      <c r="EB1046" s="25"/>
      <c r="EC1046" s="25"/>
      <c r="ED1046" s="25"/>
      <c r="EE1046" s="25"/>
      <c r="EF1046" s="25"/>
      <c r="EG1046" s="25"/>
      <c r="EH1046" s="25"/>
      <c r="EI1046" s="25"/>
      <c r="EJ1046" s="25"/>
      <c r="EK1046" s="25"/>
      <c r="EL1046" s="25"/>
      <c r="EM1046" s="25"/>
      <c r="EN1046" s="25"/>
      <c r="EO1046" s="25"/>
      <c r="EP1046" s="25"/>
      <c r="EQ1046" s="25"/>
      <c r="ER1046" s="25"/>
      <c r="ES1046" s="25"/>
      <c r="ET1046" s="25"/>
      <c r="EU1046" s="25"/>
      <c r="EV1046" s="25"/>
      <c r="EW1046" s="25"/>
      <c r="EX1046" s="25"/>
      <c r="EY1046" s="25"/>
      <c r="EZ1046" s="25"/>
      <c r="FA1046" s="25"/>
      <c r="FB1046" s="25"/>
      <c r="FC1046" s="25"/>
      <c r="FD1046" s="25"/>
      <c r="FE1046" s="25"/>
      <c r="FF1046" s="25"/>
      <c r="FG1046" s="25"/>
      <c r="FH1046" s="25"/>
      <c r="FI1046" s="25"/>
      <c r="FJ1046" s="25"/>
      <c r="FK1046" s="25"/>
      <c r="FL1046" s="25"/>
      <c r="FM1046" s="25"/>
      <c r="FN1046" s="25"/>
      <c r="FO1046" s="25"/>
      <c r="FP1046" s="25"/>
      <c r="FQ1046" s="25"/>
      <c r="FR1046" s="25"/>
      <c r="FS1046" s="25"/>
      <c r="FT1046" s="25"/>
      <c r="FU1046" s="25"/>
      <c r="FV1046" s="28"/>
      <c r="FW1046" s="27"/>
      <c r="FX1046" s="27"/>
      <c r="FY1046" s="25"/>
      <c r="FZ1046" s="25"/>
      <c r="GA1046" s="25"/>
      <c r="GB1046" s="25"/>
      <c r="GC1046" s="25"/>
      <c r="GD1046" s="25"/>
      <c r="GE1046" s="25"/>
      <c r="GF1046" s="25"/>
      <c r="GG1046" s="25"/>
      <c r="GH1046" s="25"/>
      <c r="GI1046" s="25"/>
      <c r="GJ1046" s="25"/>
      <c r="GK1046" s="25"/>
      <c r="GL1046" s="25"/>
      <c r="GM1046" s="25"/>
      <c r="GN1046" s="25"/>
      <c r="GO1046" s="25"/>
      <c r="GP1046" s="25"/>
      <c r="GQ1046" s="25"/>
      <c r="GR1046" s="25"/>
      <c r="GS1046" s="25"/>
      <c r="GT1046" s="25"/>
      <c r="GU1046" s="25"/>
      <c r="GV1046" s="25"/>
      <c r="GW1046" s="25"/>
      <c r="GX1046" s="25"/>
      <c r="GY1046" s="25"/>
      <c r="GZ1046" s="25"/>
      <c r="HA1046" s="25"/>
      <c r="HB1046" s="25"/>
      <c r="HC1046" s="25"/>
      <c r="HD1046" s="25"/>
      <c r="HE1046" s="25"/>
      <c r="HF1046" s="25"/>
      <c r="HG1046" s="25"/>
      <c r="HH1046" s="25"/>
      <c r="HI1046" s="25"/>
      <c r="HJ1046" s="25"/>
      <c r="HK1046" s="25"/>
      <c r="HL1046" s="25"/>
    </row>
    <row r="1047" spans="1:220" ht="15.75" customHeight="1" x14ac:dyDescent="0.2">
      <c r="A1047" s="25"/>
      <c r="B1047" s="29"/>
      <c r="C1047" s="26"/>
      <c r="D1047" s="29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  <c r="CA1047" s="25"/>
      <c r="CB1047" s="25"/>
      <c r="CC1047" s="25"/>
      <c r="CD1047" s="25"/>
      <c r="CE1047" s="25"/>
      <c r="CF1047" s="25"/>
      <c r="CG1047" s="25"/>
      <c r="CH1047" s="25"/>
      <c r="CI1047" s="25"/>
      <c r="CJ1047" s="25"/>
      <c r="CK1047" s="25"/>
      <c r="CL1047" s="25"/>
      <c r="CM1047" s="25"/>
      <c r="CN1047" s="25"/>
      <c r="CO1047" s="25"/>
      <c r="CP1047" s="25"/>
      <c r="CQ1047" s="25"/>
      <c r="CR1047" s="25"/>
      <c r="CS1047" s="25"/>
      <c r="CT1047" s="25"/>
      <c r="CU1047" s="25"/>
      <c r="CV1047" s="25"/>
      <c r="CW1047" s="25"/>
      <c r="CX1047" s="25"/>
      <c r="CY1047" s="25"/>
      <c r="CZ1047" s="25"/>
      <c r="DA1047" s="25"/>
      <c r="DB1047" s="25"/>
      <c r="DC1047" s="25"/>
      <c r="DD1047" s="25"/>
      <c r="DE1047" s="25"/>
      <c r="DF1047" s="25"/>
      <c r="DG1047" s="25"/>
      <c r="DH1047" s="25"/>
      <c r="DI1047" s="25"/>
      <c r="DJ1047" s="25"/>
      <c r="DK1047" s="25"/>
      <c r="DL1047" s="25"/>
      <c r="DM1047" s="25"/>
      <c r="DN1047" s="25"/>
      <c r="DO1047" s="25"/>
      <c r="DP1047" s="25"/>
      <c r="DQ1047" s="25"/>
      <c r="DR1047" s="25"/>
      <c r="DS1047" s="25"/>
      <c r="DT1047" s="25"/>
      <c r="DU1047" s="25"/>
      <c r="DV1047" s="25"/>
      <c r="DW1047" s="25"/>
      <c r="DX1047" s="25"/>
      <c r="DY1047" s="25"/>
      <c r="DZ1047" s="25"/>
      <c r="EA1047" s="25"/>
      <c r="EB1047" s="25"/>
      <c r="EC1047" s="25"/>
      <c r="ED1047" s="25"/>
      <c r="EE1047" s="25"/>
      <c r="EF1047" s="25"/>
      <c r="EG1047" s="25"/>
      <c r="EH1047" s="25"/>
      <c r="EI1047" s="25"/>
      <c r="EJ1047" s="25"/>
      <c r="EK1047" s="25"/>
      <c r="EL1047" s="25"/>
      <c r="EM1047" s="25"/>
      <c r="EN1047" s="25"/>
      <c r="EO1047" s="25"/>
      <c r="EP1047" s="25"/>
      <c r="EQ1047" s="25"/>
      <c r="ER1047" s="25"/>
      <c r="ES1047" s="25"/>
      <c r="ET1047" s="25"/>
      <c r="EU1047" s="25"/>
      <c r="EV1047" s="25"/>
      <c r="EW1047" s="25"/>
      <c r="EX1047" s="25"/>
      <c r="EY1047" s="25"/>
      <c r="EZ1047" s="25"/>
      <c r="FA1047" s="25"/>
      <c r="FB1047" s="25"/>
      <c r="FC1047" s="25"/>
      <c r="FD1047" s="25"/>
      <c r="FE1047" s="25"/>
      <c r="FF1047" s="25"/>
      <c r="FG1047" s="25"/>
      <c r="FH1047" s="25"/>
      <c r="FI1047" s="25"/>
      <c r="FJ1047" s="25"/>
      <c r="FK1047" s="25"/>
      <c r="FL1047" s="25"/>
      <c r="FM1047" s="25"/>
      <c r="FN1047" s="25"/>
      <c r="FO1047" s="25"/>
      <c r="FP1047" s="25"/>
      <c r="FQ1047" s="25"/>
      <c r="FR1047" s="25"/>
      <c r="FS1047" s="25"/>
      <c r="FT1047" s="25"/>
      <c r="FU1047" s="25"/>
      <c r="FV1047" s="28"/>
      <c r="FW1047" s="27"/>
      <c r="FX1047" s="27"/>
      <c r="FY1047" s="25"/>
      <c r="FZ1047" s="25"/>
      <c r="GA1047" s="25"/>
      <c r="GB1047" s="25"/>
      <c r="GC1047" s="25"/>
      <c r="GD1047" s="25"/>
      <c r="GE1047" s="25"/>
      <c r="GF1047" s="25"/>
      <c r="GG1047" s="25"/>
      <c r="GH1047" s="25"/>
      <c r="GI1047" s="25"/>
      <c r="GJ1047" s="25"/>
      <c r="GK1047" s="25"/>
      <c r="GL1047" s="25"/>
      <c r="GM1047" s="25"/>
      <c r="GN1047" s="25"/>
      <c r="GO1047" s="25"/>
      <c r="GP1047" s="25"/>
      <c r="GQ1047" s="25"/>
      <c r="GR1047" s="25"/>
      <c r="GS1047" s="25"/>
      <c r="GT1047" s="25"/>
      <c r="GU1047" s="25"/>
      <c r="GV1047" s="25"/>
      <c r="GW1047" s="25"/>
      <c r="GX1047" s="25"/>
      <c r="GY1047" s="25"/>
      <c r="GZ1047" s="25"/>
      <c r="HA1047" s="25"/>
      <c r="HB1047" s="25"/>
      <c r="HC1047" s="25"/>
      <c r="HD1047" s="25"/>
      <c r="HE1047" s="25"/>
      <c r="HF1047" s="25"/>
      <c r="HG1047" s="25"/>
      <c r="HH1047" s="25"/>
      <c r="HI1047" s="25"/>
      <c r="HJ1047" s="25"/>
      <c r="HK1047" s="25"/>
      <c r="HL1047" s="25"/>
    </row>
    <row r="1048" spans="1:220" ht="15.75" customHeight="1" x14ac:dyDescent="0.2">
      <c r="A1048" s="25"/>
      <c r="B1048" s="29"/>
      <c r="C1048" s="26"/>
      <c r="D1048" s="29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  <c r="CA1048" s="25"/>
      <c r="CB1048" s="25"/>
      <c r="CC1048" s="25"/>
      <c r="CD1048" s="25"/>
      <c r="CE1048" s="25"/>
      <c r="CF1048" s="25"/>
      <c r="CG1048" s="25"/>
      <c r="CH1048" s="25"/>
      <c r="CI1048" s="25"/>
      <c r="CJ1048" s="25"/>
      <c r="CK1048" s="25"/>
      <c r="CL1048" s="25"/>
      <c r="CM1048" s="25"/>
      <c r="CN1048" s="25"/>
      <c r="CO1048" s="25"/>
      <c r="CP1048" s="25"/>
      <c r="CQ1048" s="25"/>
      <c r="CR1048" s="25"/>
      <c r="CS1048" s="25"/>
      <c r="CT1048" s="25"/>
      <c r="CU1048" s="25"/>
      <c r="CV1048" s="25"/>
      <c r="CW1048" s="25"/>
      <c r="CX1048" s="25"/>
      <c r="CY1048" s="25"/>
      <c r="CZ1048" s="25"/>
      <c r="DA1048" s="25"/>
      <c r="DB1048" s="25"/>
      <c r="DC1048" s="25"/>
      <c r="DD1048" s="25"/>
      <c r="DE1048" s="25"/>
      <c r="DF1048" s="25"/>
      <c r="DG1048" s="25"/>
      <c r="DH1048" s="25"/>
      <c r="DI1048" s="25"/>
      <c r="DJ1048" s="25"/>
      <c r="DK1048" s="25"/>
      <c r="DL1048" s="25"/>
      <c r="DM1048" s="25"/>
      <c r="DN1048" s="25"/>
      <c r="DO1048" s="25"/>
      <c r="DP1048" s="25"/>
      <c r="DQ1048" s="25"/>
      <c r="DR1048" s="25"/>
      <c r="DS1048" s="25"/>
      <c r="DT1048" s="25"/>
      <c r="DU1048" s="25"/>
      <c r="DV1048" s="25"/>
      <c r="DW1048" s="25"/>
      <c r="DX1048" s="25"/>
      <c r="DY1048" s="25"/>
      <c r="DZ1048" s="25"/>
      <c r="EA1048" s="25"/>
      <c r="EB1048" s="25"/>
      <c r="EC1048" s="25"/>
      <c r="ED1048" s="25"/>
      <c r="EE1048" s="25"/>
      <c r="EF1048" s="25"/>
      <c r="EG1048" s="25"/>
      <c r="EH1048" s="25"/>
      <c r="EI1048" s="25"/>
      <c r="EJ1048" s="25"/>
      <c r="EK1048" s="25"/>
      <c r="EL1048" s="25"/>
      <c r="EM1048" s="25"/>
      <c r="EN1048" s="25"/>
      <c r="EO1048" s="25"/>
      <c r="EP1048" s="25"/>
      <c r="EQ1048" s="25"/>
      <c r="ER1048" s="25"/>
      <c r="ES1048" s="25"/>
      <c r="ET1048" s="25"/>
      <c r="EU1048" s="25"/>
      <c r="EV1048" s="25"/>
      <c r="EW1048" s="25"/>
      <c r="EX1048" s="25"/>
      <c r="EY1048" s="25"/>
      <c r="EZ1048" s="25"/>
      <c r="FA1048" s="25"/>
      <c r="FB1048" s="25"/>
      <c r="FC1048" s="25"/>
      <c r="FD1048" s="25"/>
      <c r="FE1048" s="25"/>
      <c r="FF1048" s="25"/>
      <c r="FG1048" s="25"/>
      <c r="FH1048" s="25"/>
      <c r="FI1048" s="25"/>
      <c r="FJ1048" s="25"/>
      <c r="FK1048" s="25"/>
      <c r="FL1048" s="25"/>
      <c r="FM1048" s="25"/>
      <c r="FN1048" s="25"/>
      <c r="FO1048" s="25"/>
      <c r="FP1048" s="25"/>
      <c r="FQ1048" s="25"/>
      <c r="FR1048" s="25"/>
      <c r="FS1048" s="25"/>
      <c r="FT1048" s="25"/>
      <c r="FU1048" s="25"/>
      <c r="FV1048" s="28"/>
      <c r="FW1048" s="27"/>
      <c r="FX1048" s="27"/>
      <c r="FY1048" s="25"/>
      <c r="FZ1048" s="25"/>
      <c r="GA1048" s="25"/>
      <c r="GB1048" s="25"/>
      <c r="GC1048" s="25"/>
      <c r="GD1048" s="25"/>
      <c r="GE1048" s="25"/>
      <c r="GF1048" s="25"/>
      <c r="GG1048" s="25"/>
      <c r="GH1048" s="25"/>
      <c r="GI1048" s="25"/>
      <c r="GJ1048" s="25"/>
      <c r="GK1048" s="25"/>
      <c r="GL1048" s="25"/>
      <c r="GM1048" s="25"/>
      <c r="GN1048" s="25"/>
      <c r="GO1048" s="25"/>
      <c r="GP1048" s="25"/>
      <c r="GQ1048" s="25"/>
      <c r="GR1048" s="25"/>
      <c r="GS1048" s="25"/>
      <c r="GT1048" s="25"/>
      <c r="GU1048" s="25"/>
      <c r="GV1048" s="25"/>
      <c r="GW1048" s="25"/>
      <c r="GX1048" s="25"/>
      <c r="GY1048" s="25"/>
      <c r="GZ1048" s="25"/>
      <c r="HA1048" s="25"/>
      <c r="HB1048" s="25"/>
      <c r="HC1048" s="25"/>
      <c r="HD1048" s="25"/>
      <c r="HE1048" s="25"/>
      <c r="HF1048" s="25"/>
      <c r="HG1048" s="25"/>
      <c r="HH1048" s="25"/>
      <c r="HI1048" s="25"/>
      <c r="HJ1048" s="25"/>
      <c r="HK1048" s="25"/>
      <c r="HL1048" s="25"/>
    </row>
    <row r="1049" spans="1:220" ht="15.75" customHeight="1" x14ac:dyDescent="0.2">
      <c r="A1049" s="25"/>
      <c r="B1049" s="29"/>
      <c r="C1049" s="26"/>
      <c r="D1049" s="29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  <c r="CA1049" s="25"/>
      <c r="CB1049" s="25"/>
      <c r="CC1049" s="25"/>
      <c r="CD1049" s="25"/>
      <c r="CE1049" s="25"/>
      <c r="CF1049" s="25"/>
      <c r="CG1049" s="25"/>
      <c r="CH1049" s="25"/>
      <c r="CI1049" s="25"/>
      <c r="CJ1049" s="25"/>
      <c r="CK1049" s="25"/>
      <c r="CL1049" s="25"/>
      <c r="CM1049" s="25"/>
      <c r="CN1049" s="25"/>
      <c r="CO1049" s="25"/>
      <c r="CP1049" s="25"/>
      <c r="CQ1049" s="25"/>
      <c r="CR1049" s="25"/>
      <c r="CS1049" s="25"/>
      <c r="CT1049" s="25"/>
      <c r="CU1049" s="25"/>
      <c r="CV1049" s="25"/>
      <c r="CW1049" s="25"/>
      <c r="CX1049" s="25"/>
      <c r="CY1049" s="25"/>
      <c r="CZ1049" s="25"/>
      <c r="DA1049" s="25"/>
      <c r="DB1049" s="25"/>
      <c r="DC1049" s="25"/>
      <c r="DD1049" s="25"/>
      <c r="DE1049" s="25"/>
      <c r="DF1049" s="25"/>
      <c r="DG1049" s="25"/>
      <c r="DH1049" s="25"/>
      <c r="DI1049" s="25"/>
      <c r="DJ1049" s="25"/>
      <c r="DK1049" s="25"/>
      <c r="DL1049" s="25"/>
      <c r="DM1049" s="25"/>
      <c r="DN1049" s="25"/>
      <c r="DO1049" s="25"/>
      <c r="DP1049" s="25"/>
      <c r="DQ1049" s="25"/>
      <c r="DR1049" s="25"/>
      <c r="DS1049" s="25"/>
      <c r="DT1049" s="25"/>
      <c r="DU1049" s="25"/>
      <c r="DV1049" s="25"/>
      <c r="DW1049" s="25"/>
      <c r="DX1049" s="25"/>
      <c r="DY1049" s="25"/>
      <c r="DZ1049" s="25"/>
      <c r="EA1049" s="25"/>
      <c r="EB1049" s="25"/>
      <c r="EC1049" s="25"/>
      <c r="ED1049" s="25"/>
      <c r="EE1049" s="25"/>
      <c r="EF1049" s="25"/>
      <c r="EG1049" s="25"/>
      <c r="EH1049" s="25"/>
      <c r="EI1049" s="25"/>
      <c r="EJ1049" s="25"/>
      <c r="EK1049" s="25"/>
      <c r="EL1049" s="25"/>
      <c r="EM1049" s="25"/>
      <c r="EN1049" s="25"/>
      <c r="EO1049" s="25"/>
      <c r="EP1049" s="25"/>
      <c r="EQ1049" s="25"/>
      <c r="ER1049" s="25"/>
      <c r="ES1049" s="25"/>
      <c r="ET1049" s="25"/>
      <c r="EU1049" s="25"/>
      <c r="EV1049" s="25"/>
      <c r="EW1049" s="25"/>
      <c r="EX1049" s="25"/>
      <c r="EY1049" s="25"/>
      <c r="EZ1049" s="25"/>
      <c r="FA1049" s="25"/>
      <c r="FB1049" s="25"/>
      <c r="FC1049" s="25"/>
      <c r="FD1049" s="25"/>
      <c r="FE1049" s="25"/>
      <c r="FF1049" s="25"/>
      <c r="FG1049" s="25"/>
      <c r="FH1049" s="25"/>
      <c r="FI1049" s="25"/>
      <c r="FJ1049" s="25"/>
      <c r="FK1049" s="25"/>
      <c r="FL1049" s="25"/>
      <c r="FM1049" s="25"/>
      <c r="FN1049" s="25"/>
      <c r="FO1049" s="25"/>
      <c r="FP1049" s="25"/>
      <c r="FQ1049" s="25"/>
      <c r="FR1049" s="25"/>
      <c r="FS1049" s="25"/>
      <c r="FT1049" s="25"/>
      <c r="FU1049" s="25"/>
      <c r="FV1049" s="28"/>
      <c r="FW1049" s="27"/>
      <c r="FX1049" s="27"/>
      <c r="FY1049" s="25"/>
      <c r="FZ1049" s="25"/>
      <c r="GA1049" s="25"/>
      <c r="GB1049" s="25"/>
      <c r="GC1049" s="25"/>
      <c r="GD1049" s="25"/>
      <c r="GE1049" s="25"/>
      <c r="GF1049" s="25"/>
      <c r="GG1049" s="25"/>
      <c r="GH1049" s="25"/>
      <c r="GI1049" s="25"/>
      <c r="GJ1049" s="25"/>
      <c r="GK1049" s="25"/>
      <c r="GL1049" s="25"/>
      <c r="GM1049" s="25"/>
      <c r="GN1049" s="25"/>
      <c r="GO1049" s="25"/>
      <c r="GP1049" s="25"/>
      <c r="GQ1049" s="25"/>
      <c r="GR1049" s="25"/>
      <c r="GS1049" s="25"/>
      <c r="GT1049" s="25"/>
      <c r="GU1049" s="25"/>
      <c r="GV1049" s="25"/>
      <c r="GW1049" s="25"/>
      <c r="GX1049" s="25"/>
      <c r="GY1049" s="25"/>
      <c r="GZ1049" s="25"/>
      <c r="HA1049" s="25"/>
      <c r="HB1049" s="25"/>
      <c r="HC1049" s="25"/>
      <c r="HD1049" s="25"/>
      <c r="HE1049" s="25"/>
      <c r="HF1049" s="25"/>
      <c r="HG1049" s="25"/>
      <c r="HH1049" s="25"/>
      <c r="HI1049" s="25"/>
      <c r="HJ1049" s="25"/>
      <c r="HK1049" s="25"/>
      <c r="HL1049" s="25"/>
    </row>
    <row r="1050" spans="1:220" ht="15.75" customHeight="1" x14ac:dyDescent="0.2">
      <c r="A1050" s="25"/>
      <c r="B1050" s="29"/>
      <c r="C1050" s="26"/>
      <c r="D1050" s="29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  <c r="CA1050" s="25"/>
      <c r="CB1050" s="25"/>
      <c r="CC1050" s="25"/>
      <c r="CD1050" s="25"/>
      <c r="CE1050" s="25"/>
      <c r="CF1050" s="25"/>
      <c r="CG1050" s="25"/>
      <c r="CH1050" s="25"/>
      <c r="CI1050" s="25"/>
      <c r="CJ1050" s="25"/>
      <c r="CK1050" s="25"/>
      <c r="CL1050" s="25"/>
      <c r="CM1050" s="25"/>
      <c r="CN1050" s="25"/>
      <c r="CO1050" s="25"/>
      <c r="CP1050" s="25"/>
      <c r="CQ1050" s="25"/>
      <c r="CR1050" s="25"/>
      <c r="CS1050" s="25"/>
      <c r="CT1050" s="25"/>
      <c r="CU1050" s="25"/>
      <c r="CV1050" s="25"/>
      <c r="CW1050" s="25"/>
      <c r="CX1050" s="25"/>
      <c r="CY1050" s="25"/>
      <c r="CZ1050" s="25"/>
      <c r="DA1050" s="25"/>
      <c r="DB1050" s="25"/>
      <c r="DC1050" s="25"/>
      <c r="DD1050" s="25"/>
      <c r="DE1050" s="25"/>
      <c r="DF1050" s="25"/>
      <c r="DG1050" s="25"/>
      <c r="DH1050" s="25"/>
      <c r="DI1050" s="25"/>
      <c r="DJ1050" s="25"/>
      <c r="DK1050" s="25"/>
      <c r="DL1050" s="25"/>
      <c r="DM1050" s="25"/>
      <c r="DN1050" s="25"/>
      <c r="DO1050" s="25"/>
      <c r="DP1050" s="25"/>
      <c r="DQ1050" s="25"/>
      <c r="DR1050" s="25"/>
      <c r="DS1050" s="25"/>
      <c r="DT1050" s="25"/>
      <c r="DU1050" s="25"/>
      <c r="DV1050" s="25"/>
      <c r="DW1050" s="25"/>
      <c r="DX1050" s="25"/>
      <c r="DY1050" s="25"/>
      <c r="DZ1050" s="25"/>
      <c r="EA1050" s="25"/>
      <c r="EB1050" s="25"/>
      <c r="EC1050" s="25"/>
      <c r="ED1050" s="25"/>
      <c r="EE1050" s="25"/>
      <c r="EF1050" s="25"/>
      <c r="EG1050" s="25"/>
      <c r="EH1050" s="25"/>
      <c r="EI1050" s="25"/>
      <c r="EJ1050" s="25"/>
      <c r="EK1050" s="25"/>
      <c r="EL1050" s="25"/>
      <c r="EM1050" s="25"/>
      <c r="EN1050" s="25"/>
      <c r="EO1050" s="25"/>
      <c r="EP1050" s="25"/>
      <c r="EQ1050" s="25"/>
      <c r="ER1050" s="25"/>
      <c r="ES1050" s="25"/>
      <c r="ET1050" s="25"/>
      <c r="EU1050" s="25"/>
      <c r="EV1050" s="25"/>
      <c r="EW1050" s="25"/>
      <c r="EX1050" s="25"/>
      <c r="EY1050" s="25"/>
      <c r="EZ1050" s="25"/>
      <c r="FA1050" s="25"/>
      <c r="FB1050" s="25"/>
      <c r="FC1050" s="25"/>
      <c r="FD1050" s="25"/>
      <c r="FE1050" s="25"/>
      <c r="FF1050" s="25"/>
      <c r="FG1050" s="25"/>
      <c r="FH1050" s="25"/>
      <c r="FI1050" s="25"/>
      <c r="FJ1050" s="25"/>
      <c r="FK1050" s="25"/>
      <c r="FL1050" s="25"/>
      <c r="FM1050" s="25"/>
      <c r="FN1050" s="25"/>
      <c r="FO1050" s="25"/>
      <c r="FP1050" s="25"/>
      <c r="FQ1050" s="25"/>
      <c r="FR1050" s="25"/>
      <c r="FS1050" s="25"/>
      <c r="FT1050" s="25"/>
      <c r="FU1050" s="25"/>
      <c r="FV1050" s="28"/>
      <c r="FW1050" s="27"/>
      <c r="FX1050" s="27"/>
      <c r="FY1050" s="25"/>
      <c r="FZ1050" s="25"/>
      <c r="GA1050" s="25"/>
      <c r="GB1050" s="25"/>
      <c r="GC1050" s="25"/>
      <c r="GD1050" s="25"/>
      <c r="GE1050" s="25"/>
      <c r="GF1050" s="25"/>
      <c r="GG1050" s="25"/>
      <c r="GH1050" s="25"/>
      <c r="GI1050" s="25"/>
      <c r="GJ1050" s="25"/>
      <c r="GK1050" s="25"/>
      <c r="GL1050" s="25"/>
      <c r="GM1050" s="25"/>
      <c r="GN1050" s="25"/>
      <c r="GO1050" s="25"/>
      <c r="GP1050" s="25"/>
      <c r="GQ1050" s="25"/>
      <c r="GR1050" s="25"/>
      <c r="GS1050" s="25"/>
      <c r="GT1050" s="25"/>
      <c r="GU1050" s="25"/>
      <c r="GV1050" s="25"/>
      <c r="GW1050" s="25"/>
      <c r="GX1050" s="25"/>
      <c r="GY1050" s="25"/>
      <c r="GZ1050" s="25"/>
      <c r="HA1050" s="25"/>
      <c r="HB1050" s="25"/>
      <c r="HC1050" s="25"/>
      <c r="HD1050" s="25"/>
      <c r="HE1050" s="25"/>
      <c r="HF1050" s="25"/>
      <c r="HG1050" s="25"/>
      <c r="HH1050" s="25"/>
      <c r="HI1050" s="25"/>
      <c r="HJ1050" s="25"/>
      <c r="HK1050" s="25"/>
      <c r="HL1050" s="25"/>
    </row>
    <row r="1051" spans="1:220" ht="15.75" customHeight="1" x14ac:dyDescent="0.2">
      <c r="A1051" s="25"/>
      <c r="B1051" s="29"/>
      <c r="C1051" s="26"/>
      <c r="D1051" s="29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  <c r="CA1051" s="25"/>
      <c r="CB1051" s="25"/>
      <c r="CC1051" s="25"/>
      <c r="CD1051" s="25"/>
      <c r="CE1051" s="25"/>
      <c r="CF1051" s="25"/>
      <c r="CG1051" s="25"/>
      <c r="CH1051" s="25"/>
      <c r="CI1051" s="25"/>
      <c r="CJ1051" s="25"/>
      <c r="CK1051" s="25"/>
      <c r="CL1051" s="25"/>
      <c r="CM1051" s="25"/>
      <c r="CN1051" s="25"/>
      <c r="CO1051" s="25"/>
      <c r="CP1051" s="25"/>
      <c r="CQ1051" s="25"/>
      <c r="CR1051" s="25"/>
      <c r="CS1051" s="25"/>
      <c r="CT1051" s="25"/>
      <c r="CU1051" s="25"/>
      <c r="CV1051" s="25"/>
      <c r="CW1051" s="25"/>
      <c r="CX1051" s="25"/>
      <c r="CY1051" s="25"/>
      <c r="CZ1051" s="25"/>
      <c r="DA1051" s="25"/>
      <c r="DB1051" s="25"/>
      <c r="DC1051" s="25"/>
      <c r="DD1051" s="25"/>
      <c r="DE1051" s="25"/>
      <c r="DF1051" s="25"/>
      <c r="DG1051" s="25"/>
      <c r="DH1051" s="25"/>
      <c r="DI1051" s="25"/>
      <c r="DJ1051" s="25"/>
      <c r="DK1051" s="25"/>
      <c r="DL1051" s="25"/>
      <c r="DM1051" s="25"/>
      <c r="DN1051" s="25"/>
      <c r="DO1051" s="25"/>
      <c r="DP1051" s="25"/>
      <c r="DQ1051" s="25"/>
      <c r="DR1051" s="25"/>
      <c r="DS1051" s="25"/>
      <c r="DT1051" s="25"/>
      <c r="DU1051" s="25"/>
      <c r="DV1051" s="25"/>
      <c r="DW1051" s="25"/>
      <c r="DX1051" s="25"/>
      <c r="DY1051" s="25"/>
      <c r="DZ1051" s="25"/>
      <c r="EA1051" s="25"/>
      <c r="EB1051" s="25"/>
      <c r="EC1051" s="25"/>
      <c r="ED1051" s="25"/>
      <c r="EE1051" s="25"/>
      <c r="EF1051" s="25"/>
      <c r="EG1051" s="25"/>
      <c r="EH1051" s="25"/>
      <c r="EI1051" s="25"/>
      <c r="EJ1051" s="25"/>
      <c r="EK1051" s="25"/>
      <c r="EL1051" s="25"/>
      <c r="EM1051" s="25"/>
      <c r="EN1051" s="25"/>
      <c r="EO1051" s="25"/>
      <c r="EP1051" s="25"/>
      <c r="EQ1051" s="25"/>
      <c r="ER1051" s="25"/>
      <c r="ES1051" s="25"/>
      <c r="ET1051" s="25"/>
      <c r="EU1051" s="25"/>
      <c r="EV1051" s="25"/>
      <c r="EW1051" s="25"/>
      <c r="EX1051" s="25"/>
      <c r="EY1051" s="25"/>
      <c r="EZ1051" s="25"/>
      <c r="FA1051" s="25"/>
      <c r="FB1051" s="25"/>
      <c r="FC1051" s="25"/>
      <c r="FD1051" s="25"/>
      <c r="FE1051" s="25"/>
      <c r="FF1051" s="25"/>
      <c r="FG1051" s="25"/>
      <c r="FH1051" s="25"/>
      <c r="FI1051" s="25"/>
      <c r="FJ1051" s="25"/>
      <c r="FK1051" s="25"/>
      <c r="FL1051" s="25"/>
      <c r="FM1051" s="25"/>
      <c r="FN1051" s="25"/>
      <c r="FO1051" s="25"/>
      <c r="FP1051" s="25"/>
      <c r="FQ1051" s="25"/>
      <c r="FR1051" s="25"/>
      <c r="FS1051" s="25"/>
      <c r="FT1051" s="25"/>
      <c r="FU1051" s="25"/>
      <c r="FV1051" s="28"/>
      <c r="FW1051" s="27"/>
      <c r="FX1051" s="27"/>
      <c r="FY1051" s="25"/>
      <c r="FZ1051" s="25"/>
      <c r="GA1051" s="25"/>
      <c r="GB1051" s="25"/>
      <c r="GC1051" s="25"/>
      <c r="GD1051" s="25"/>
      <c r="GE1051" s="25"/>
      <c r="GF1051" s="25"/>
      <c r="GG1051" s="25"/>
      <c r="GH1051" s="25"/>
      <c r="GI1051" s="25"/>
      <c r="GJ1051" s="25"/>
      <c r="GK1051" s="25"/>
      <c r="GL1051" s="25"/>
      <c r="GM1051" s="25"/>
      <c r="GN1051" s="25"/>
      <c r="GO1051" s="25"/>
      <c r="GP1051" s="25"/>
      <c r="GQ1051" s="25"/>
      <c r="GR1051" s="25"/>
      <c r="GS1051" s="25"/>
      <c r="GT1051" s="25"/>
      <c r="GU1051" s="25"/>
      <c r="GV1051" s="25"/>
      <c r="GW1051" s="25"/>
      <c r="GX1051" s="25"/>
      <c r="GY1051" s="25"/>
      <c r="GZ1051" s="25"/>
      <c r="HA1051" s="25"/>
      <c r="HB1051" s="25"/>
      <c r="HC1051" s="25"/>
      <c r="HD1051" s="25"/>
      <c r="HE1051" s="25"/>
      <c r="HF1051" s="25"/>
      <c r="HG1051" s="25"/>
      <c r="HH1051" s="25"/>
      <c r="HI1051" s="25"/>
      <c r="HJ1051" s="25"/>
      <c r="HK1051" s="25"/>
      <c r="HL1051" s="25"/>
    </row>
    <row r="1052" spans="1:220" ht="15.75" customHeight="1" x14ac:dyDescent="0.2">
      <c r="A1052" s="25"/>
      <c r="B1052" s="29"/>
      <c r="C1052" s="26"/>
      <c r="D1052" s="29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  <c r="CA1052" s="25"/>
      <c r="CB1052" s="25"/>
      <c r="CC1052" s="25"/>
      <c r="CD1052" s="25"/>
      <c r="CE1052" s="25"/>
      <c r="CF1052" s="25"/>
      <c r="CG1052" s="25"/>
      <c r="CH1052" s="25"/>
      <c r="CI1052" s="25"/>
      <c r="CJ1052" s="25"/>
      <c r="CK1052" s="25"/>
      <c r="CL1052" s="25"/>
      <c r="CM1052" s="25"/>
      <c r="CN1052" s="25"/>
      <c r="CO1052" s="25"/>
      <c r="CP1052" s="25"/>
      <c r="CQ1052" s="25"/>
      <c r="CR1052" s="25"/>
      <c r="CS1052" s="25"/>
      <c r="CT1052" s="25"/>
      <c r="CU1052" s="25"/>
      <c r="CV1052" s="25"/>
      <c r="CW1052" s="25"/>
      <c r="CX1052" s="25"/>
      <c r="CY1052" s="25"/>
      <c r="CZ1052" s="25"/>
      <c r="DA1052" s="25"/>
      <c r="DB1052" s="25"/>
      <c r="DC1052" s="25"/>
      <c r="DD1052" s="25"/>
      <c r="DE1052" s="25"/>
      <c r="DF1052" s="25"/>
      <c r="DG1052" s="25"/>
      <c r="DH1052" s="25"/>
      <c r="DI1052" s="25"/>
      <c r="DJ1052" s="25"/>
      <c r="DK1052" s="25"/>
      <c r="DL1052" s="25"/>
      <c r="DM1052" s="25"/>
      <c r="DN1052" s="25"/>
      <c r="DO1052" s="25"/>
      <c r="DP1052" s="25"/>
      <c r="DQ1052" s="25"/>
      <c r="DR1052" s="25"/>
      <c r="DS1052" s="25"/>
      <c r="DT1052" s="25"/>
      <c r="DU1052" s="25"/>
      <c r="DV1052" s="25"/>
      <c r="DW1052" s="25"/>
      <c r="DX1052" s="25"/>
      <c r="DY1052" s="25"/>
      <c r="DZ1052" s="25"/>
      <c r="EA1052" s="25"/>
      <c r="EB1052" s="25"/>
      <c r="EC1052" s="25"/>
      <c r="ED1052" s="25"/>
      <c r="EE1052" s="25"/>
      <c r="EF1052" s="25"/>
      <c r="EG1052" s="25"/>
      <c r="EH1052" s="25"/>
      <c r="EI1052" s="25"/>
      <c r="EJ1052" s="25"/>
      <c r="EK1052" s="25"/>
      <c r="EL1052" s="25"/>
      <c r="EM1052" s="25"/>
      <c r="EN1052" s="25"/>
      <c r="EO1052" s="25"/>
      <c r="EP1052" s="25"/>
      <c r="EQ1052" s="25"/>
      <c r="ER1052" s="25"/>
      <c r="ES1052" s="25"/>
      <c r="ET1052" s="25"/>
      <c r="EU1052" s="25"/>
      <c r="EV1052" s="25"/>
      <c r="EW1052" s="25"/>
      <c r="EX1052" s="25"/>
      <c r="EY1052" s="25"/>
      <c r="EZ1052" s="25"/>
      <c r="FA1052" s="25"/>
      <c r="FB1052" s="25"/>
      <c r="FC1052" s="25"/>
      <c r="FD1052" s="25"/>
      <c r="FE1052" s="25"/>
      <c r="FF1052" s="25"/>
      <c r="FG1052" s="25"/>
      <c r="FH1052" s="25"/>
      <c r="FI1052" s="25"/>
      <c r="FJ1052" s="25"/>
      <c r="FK1052" s="25"/>
      <c r="FL1052" s="25"/>
      <c r="FM1052" s="25"/>
      <c r="FN1052" s="25"/>
      <c r="FO1052" s="25"/>
      <c r="FP1052" s="25"/>
      <c r="FQ1052" s="25"/>
      <c r="FR1052" s="25"/>
      <c r="FS1052" s="25"/>
      <c r="FT1052" s="25"/>
      <c r="FU1052" s="25"/>
      <c r="FV1052" s="28"/>
      <c r="FW1052" s="27"/>
      <c r="FX1052" s="27"/>
      <c r="FY1052" s="25"/>
      <c r="FZ1052" s="25"/>
      <c r="GA1052" s="25"/>
      <c r="GB1052" s="25"/>
      <c r="GC1052" s="25"/>
      <c r="GD1052" s="25"/>
      <c r="GE1052" s="25"/>
      <c r="GF1052" s="25"/>
      <c r="GG1052" s="25"/>
      <c r="GH1052" s="25"/>
      <c r="GI1052" s="25"/>
      <c r="GJ1052" s="25"/>
      <c r="GK1052" s="25"/>
      <c r="GL1052" s="25"/>
      <c r="GM1052" s="25"/>
      <c r="GN1052" s="25"/>
      <c r="GO1052" s="25"/>
      <c r="GP1052" s="25"/>
      <c r="GQ1052" s="25"/>
      <c r="GR1052" s="25"/>
      <c r="GS1052" s="25"/>
      <c r="GT1052" s="25"/>
      <c r="GU1052" s="25"/>
      <c r="GV1052" s="25"/>
      <c r="GW1052" s="25"/>
      <c r="GX1052" s="25"/>
      <c r="GY1052" s="25"/>
      <c r="GZ1052" s="25"/>
      <c r="HA1052" s="25"/>
      <c r="HB1052" s="25"/>
      <c r="HC1052" s="25"/>
      <c r="HD1052" s="25"/>
      <c r="HE1052" s="25"/>
      <c r="HF1052" s="25"/>
      <c r="HG1052" s="25"/>
      <c r="HH1052" s="25"/>
      <c r="HI1052" s="25"/>
      <c r="HJ1052" s="25"/>
      <c r="HK1052" s="25"/>
      <c r="HL1052" s="25"/>
    </row>
    <row r="1053" spans="1:220" ht="15.75" customHeight="1" x14ac:dyDescent="0.2">
      <c r="A1053" s="25"/>
      <c r="B1053" s="29"/>
      <c r="C1053" s="26"/>
      <c r="D1053" s="29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  <c r="CA1053" s="25"/>
      <c r="CB1053" s="25"/>
      <c r="CC1053" s="25"/>
      <c r="CD1053" s="25"/>
      <c r="CE1053" s="25"/>
      <c r="CF1053" s="25"/>
      <c r="CG1053" s="25"/>
      <c r="CH1053" s="25"/>
      <c r="CI1053" s="25"/>
      <c r="CJ1053" s="25"/>
      <c r="CK1053" s="25"/>
      <c r="CL1053" s="25"/>
      <c r="CM1053" s="25"/>
      <c r="CN1053" s="25"/>
      <c r="CO1053" s="25"/>
      <c r="CP1053" s="25"/>
      <c r="CQ1053" s="25"/>
      <c r="CR1053" s="25"/>
      <c r="CS1053" s="25"/>
      <c r="CT1053" s="25"/>
      <c r="CU1053" s="25"/>
      <c r="CV1053" s="25"/>
      <c r="CW1053" s="25"/>
      <c r="CX1053" s="25"/>
      <c r="CY1053" s="25"/>
      <c r="CZ1053" s="25"/>
      <c r="DA1053" s="25"/>
      <c r="DB1053" s="25"/>
      <c r="DC1053" s="25"/>
      <c r="DD1053" s="25"/>
      <c r="DE1053" s="25"/>
      <c r="DF1053" s="25"/>
      <c r="DG1053" s="25"/>
      <c r="DH1053" s="25"/>
      <c r="DI1053" s="25"/>
      <c r="DJ1053" s="25"/>
      <c r="DK1053" s="25"/>
      <c r="DL1053" s="25"/>
      <c r="DM1053" s="25"/>
      <c r="DN1053" s="25"/>
      <c r="DO1053" s="25"/>
      <c r="DP1053" s="25"/>
      <c r="DQ1053" s="25"/>
      <c r="DR1053" s="25"/>
      <c r="DS1053" s="25"/>
      <c r="DT1053" s="25"/>
      <c r="DU1053" s="25"/>
      <c r="DV1053" s="25"/>
      <c r="DW1053" s="25"/>
      <c r="DX1053" s="25"/>
      <c r="DY1053" s="25"/>
      <c r="DZ1053" s="25"/>
      <c r="EA1053" s="25"/>
      <c r="EB1053" s="25"/>
      <c r="EC1053" s="25"/>
      <c r="ED1053" s="25"/>
      <c r="EE1053" s="25"/>
      <c r="EF1053" s="25"/>
      <c r="EG1053" s="25"/>
      <c r="EH1053" s="25"/>
      <c r="EI1053" s="25"/>
      <c r="EJ1053" s="25"/>
      <c r="EK1053" s="25"/>
      <c r="EL1053" s="25"/>
      <c r="EM1053" s="25"/>
      <c r="EN1053" s="25"/>
      <c r="EO1053" s="25"/>
      <c r="EP1053" s="25"/>
      <c r="EQ1053" s="25"/>
      <c r="ER1053" s="25"/>
      <c r="ES1053" s="25"/>
      <c r="ET1053" s="25"/>
      <c r="EU1053" s="25"/>
      <c r="EV1053" s="25"/>
      <c r="EW1053" s="25"/>
      <c r="EX1053" s="25"/>
      <c r="EY1053" s="25"/>
      <c r="EZ1053" s="25"/>
      <c r="FA1053" s="25"/>
      <c r="FB1053" s="25"/>
      <c r="FC1053" s="25"/>
      <c r="FD1053" s="25"/>
      <c r="FE1053" s="25"/>
      <c r="FF1053" s="25"/>
      <c r="FG1053" s="25"/>
      <c r="FH1053" s="25"/>
      <c r="FI1053" s="25"/>
      <c r="FJ1053" s="25"/>
      <c r="FK1053" s="25"/>
      <c r="FL1053" s="25"/>
      <c r="FM1053" s="25"/>
      <c r="FN1053" s="25"/>
      <c r="FO1053" s="25"/>
      <c r="FP1053" s="25"/>
      <c r="FQ1053" s="25"/>
      <c r="FR1053" s="25"/>
      <c r="FS1053" s="25"/>
      <c r="FT1053" s="25"/>
      <c r="FU1053" s="25"/>
      <c r="FV1053" s="28"/>
      <c r="FW1053" s="27"/>
      <c r="FX1053" s="27"/>
      <c r="FY1053" s="25"/>
      <c r="FZ1053" s="25"/>
      <c r="GA1053" s="25"/>
      <c r="GB1053" s="25"/>
      <c r="GC1053" s="25"/>
      <c r="GD1053" s="25"/>
      <c r="GE1053" s="25"/>
      <c r="GF1053" s="25"/>
      <c r="GG1053" s="25"/>
      <c r="GH1053" s="25"/>
      <c r="GI1053" s="25"/>
      <c r="GJ1053" s="25"/>
      <c r="GK1053" s="25"/>
      <c r="GL1053" s="25"/>
      <c r="GM1053" s="25"/>
      <c r="GN1053" s="25"/>
      <c r="GO1053" s="25"/>
      <c r="GP1053" s="25"/>
      <c r="GQ1053" s="25"/>
      <c r="GR1053" s="25"/>
      <c r="GS1053" s="25"/>
      <c r="GT1053" s="25"/>
      <c r="GU1053" s="25"/>
      <c r="GV1053" s="25"/>
      <c r="GW1053" s="25"/>
      <c r="GX1053" s="25"/>
      <c r="GY1053" s="25"/>
      <c r="GZ1053" s="25"/>
      <c r="HA1053" s="25"/>
      <c r="HB1053" s="25"/>
      <c r="HC1053" s="25"/>
      <c r="HD1053" s="25"/>
      <c r="HE1053" s="25"/>
      <c r="HF1053" s="25"/>
      <c r="HG1053" s="25"/>
      <c r="HH1053" s="25"/>
      <c r="HI1053" s="25"/>
      <c r="HJ1053" s="25"/>
      <c r="HK1053" s="25"/>
      <c r="HL1053" s="25"/>
    </row>
    <row r="1054" spans="1:220" ht="15.75" customHeight="1" x14ac:dyDescent="0.2">
      <c r="A1054" s="25"/>
      <c r="B1054" s="29"/>
      <c r="C1054" s="26"/>
      <c r="D1054" s="29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  <c r="CA1054" s="25"/>
      <c r="CB1054" s="25"/>
      <c r="CC1054" s="25"/>
      <c r="CD1054" s="25"/>
      <c r="CE1054" s="25"/>
      <c r="CF1054" s="25"/>
      <c r="CG1054" s="25"/>
      <c r="CH1054" s="25"/>
      <c r="CI1054" s="25"/>
      <c r="CJ1054" s="25"/>
      <c r="CK1054" s="25"/>
      <c r="CL1054" s="25"/>
      <c r="CM1054" s="25"/>
      <c r="CN1054" s="25"/>
      <c r="CO1054" s="25"/>
      <c r="CP1054" s="25"/>
      <c r="CQ1054" s="25"/>
      <c r="CR1054" s="25"/>
      <c r="CS1054" s="25"/>
      <c r="CT1054" s="25"/>
      <c r="CU1054" s="25"/>
      <c r="CV1054" s="25"/>
      <c r="CW1054" s="25"/>
      <c r="CX1054" s="25"/>
      <c r="CY1054" s="25"/>
      <c r="CZ1054" s="25"/>
      <c r="DA1054" s="25"/>
      <c r="DB1054" s="25"/>
      <c r="DC1054" s="25"/>
      <c r="DD1054" s="25"/>
      <c r="DE1054" s="25"/>
      <c r="DF1054" s="25"/>
      <c r="DG1054" s="25"/>
      <c r="DH1054" s="25"/>
      <c r="DI1054" s="25"/>
      <c r="DJ1054" s="25"/>
      <c r="DK1054" s="25"/>
      <c r="DL1054" s="25"/>
      <c r="DM1054" s="25"/>
      <c r="DN1054" s="25"/>
      <c r="DO1054" s="25"/>
      <c r="DP1054" s="25"/>
      <c r="DQ1054" s="25"/>
      <c r="DR1054" s="25"/>
      <c r="DS1054" s="25"/>
      <c r="DT1054" s="25"/>
      <c r="DU1054" s="25"/>
      <c r="DV1054" s="25"/>
      <c r="DW1054" s="25"/>
      <c r="DX1054" s="25"/>
      <c r="DY1054" s="25"/>
      <c r="DZ1054" s="25"/>
      <c r="EA1054" s="25"/>
      <c r="EB1054" s="25"/>
      <c r="EC1054" s="25"/>
      <c r="ED1054" s="25"/>
      <c r="EE1054" s="25"/>
      <c r="EF1054" s="25"/>
      <c r="EG1054" s="25"/>
      <c r="EH1054" s="25"/>
      <c r="EI1054" s="25"/>
      <c r="EJ1054" s="25"/>
      <c r="EK1054" s="25"/>
      <c r="EL1054" s="25"/>
      <c r="EM1054" s="25"/>
      <c r="EN1054" s="25"/>
      <c r="EO1054" s="25"/>
      <c r="EP1054" s="25"/>
      <c r="EQ1054" s="25"/>
      <c r="ER1054" s="25"/>
      <c r="ES1054" s="25"/>
      <c r="ET1054" s="25"/>
      <c r="EU1054" s="25"/>
      <c r="EV1054" s="25"/>
      <c r="EW1054" s="25"/>
      <c r="EX1054" s="25"/>
      <c r="EY1054" s="25"/>
      <c r="EZ1054" s="25"/>
      <c r="FA1054" s="25"/>
      <c r="FB1054" s="25"/>
      <c r="FC1054" s="25"/>
      <c r="FD1054" s="25"/>
      <c r="FE1054" s="25"/>
      <c r="FF1054" s="25"/>
      <c r="FG1054" s="25"/>
      <c r="FH1054" s="25"/>
      <c r="FI1054" s="25"/>
      <c r="FJ1054" s="25"/>
      <c r="FK1054" s="25"/>
      <c r="FL1054" s="25"/>
      <c r="FM1054" s="25"/>
      <c r="FN1054" s="25"/>
      <c r="FO1054" s="25"/>
      <c r="FP1054" s="25"/>
      <c r="FQ1054" s="25"/>
      <c r="FR1054" s="25"/>
      <c r="FS1054" s="25"/>
      <c r="FT1054" s="25"/>
      <c r="FU1054" s="25"/>
      <c r="FV1054" s="28"/>
      <c r="FW1054" s="27"/>
      <c r="FX1054" s="27"/>
      <c r="FY1054" s="25"/>
      <c r="FZ1054" s="25"/>
      <c r="GA1054" s="25"/>
      <c r="GB1054" s="25"/>
      <c r="GC1054" s="25"/>
      <c r="GD1054" s="25"/>
      <c r="GE1054" s="25"/>
      <c r="GF1054" s="25"/>
      <c r="GG1054" s="25"/>
      <c r="GH1054" s="25"/>
      <c r="GI1054" s="25"/>
      <c r="GJ1054" s="25"/>
      <c r="GK1054" s="25"/>
      <c r="GL1054" s="25"/>
      <c r="GM1054" s="25"/>
      <c r="GN1054" s="25"/>
      <c r="GO1054" s="25"/>
      <c r="GP1054" s="25"/>
      <c r="GQ1054" s="25"/>
      <c r="GR1054" s="25"/>
      <c r="GS1054" s="25"/>
      <c r="GT1054" s="25"/>
      <c r="GU1054" s="25"/>
      <c r="GV1054" s="25"/>
      <c r="GW1054" s="25"/>
      <c r="GX1054" s="25"/>
      <c r="GY1054" s="25"/>
      <c r="GZ1054" s="25"/>
      <c r="HA1054" s="25"/>
      <c r="HB1054" s="25"/>
      <c r="HC1054" s="25"/>
      <c r="HD1054" s="25"/>
      <c r="HE1054" s="25"/>
      <c r="HF1054" s="25"/>
      <c r="HG1054" s="25"/>
      <c r="HH1054" s="25"/>
      <c r="HI1054" s="25"/>
      <c r="HJ1054" s="25"/>
      <c r="HK1054" s="25"/>
      <c r="HL1054" s="25"/>
    </row>
    <row r="1055" spans="1:220" ht="15.75" customHeight="1" x14ac:dyDescent="0.2">
      <c r="A1055" s="25"/>
      <c r="B1055" s="29"/>
      <c r="C1055" s="26"/>
      <c r="D1055" s="29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  <c r="CA1055" s="25"/>
      <c r="CB1055" s="25"/>
      <c r="CC1055" s="25"/>
      <c r="CD1055" s="25"/>
      <c r="CE1055" s="25"/>
      <c r="CF1055" s="25"/>
      <c r="CG1055" s="25"/>
      <c r="CH1055" s="25"/>
      <c r="CI1055" s="25"/>
      <c r="CJ1055" s="25"/>
      <c r="CK1055" s="25"/>
      <c r="CL1055" s="25"/>
      <c r="CM1055" s="25"/>
      <c r="CN1055" s="25"/>
      <c r="CO1055" s="25"/>
      <c r="CP1055" s="25"/>
      <c r="CQ1055" s="25"/>
      <c r="CR1055" s="25"/>
      <c r="CS1055" s="25"/>
      <c r="CT1055" s="25"/>
      <c r="CU1055" s="25"/>
      <c r="CV1055" s="25"/>
      <c r="CW1055" s="25"/>
      <c r="CX1055" s="25"/>
      <c r="CY1055" s="25"/>
      <c r="CZ1055" s="25"/>
      <c r="DA1055" s="25"/>
      <c r="DB1055" s="25"/>
      <c r="DC1055" s="25"/>
      <c r="DD1055" s="25"/>
      <c r="DE1055" s="25"/>
      <c r="DF1055" s="25"/>
      <c r="DG1055" s="25"/>
      <c r="DH1055" s="25"/>
      <c r="DI1055" s="25"/>
      <c r="DJ1055" s="25"/>
      <c r="DK1055" s="25"/>
      <c r="DL1055" s="25"/>
      <c r="DM1055" s="25"/>
      <c r="DN1055" s="25"/>
      <c r="DO1055" s="25"/>
      <c r="DP1055" s="25"/>
      <c r="DQ1055" s="25"/>
      <c r="DR1055" s="25"/>
      <c r="DS1055" s="25"/>
      <c r="DT1055" s="25"/>
      <c r="DU1055" s="25"/>
      <c r="DV1055" s="25"/>
      <c r="DW1055" s="25"/>
      <c r="DX1055" s="25"/>
      <c r="DY1055" s="25"/>
      <c r="DZ1055" s="25"/>
      <c r="EA1055" s="25"/>
      <c r="EB1055" s="25"/>
      <c r="EC1055" s="25"/>
      <c r="ED1055" s="25"/>
      <c r="EE1055" s="25"/>
      <c r="EF1055" s="25"/>
      <c r="EG1055" s="25"/>
      <c r="EH1055" s="25"/>
      <c r="EI1055" s="25"/>
      <c r="EJ1055" s="25"/>
      <c r="EK1055" s="25"/>
      <c r="EL1055" s="25"/>
      <c r="EM1055" s="25"/>
      <c r="EN1055" s="25"/>
      <c r="EO1055" s="25"/>
      <c r="EP1055" s="25"/>
      <c r="EQ1055" s="25"/>
      <c r="ER1055" s="25"/>
      <c r="ES1055" s="25"/>
      <c r="ET1055" s="25"/>
      <c r="EU1055" s="25"/>
      <c r="EV1055" s="25"/>
      <c r="EW1055" s="25"/>
      <c r="EX1055" s="25"/>
      <c r="EY1055" s="25"/>
      <c r="EZ1055" s="25"/>
      <c r="FA1055" s="25"/>
      <c r="FB1055" s="25"/>
      <c r="FC1055" s="25"/>
      <c r="FD1055" s="25"/>
      <c r="FE1055" s="25"/>
      <c r="FF1055" s="25"/>
      <c r="FG1055" s="25"/>
      <c r="FH1055" s="25"/>
      <c r="FI1055" s="25"/>
      <c r="FJ1055" s="25"/>
      <c r="FK1055" s="25"/>
      <c r="FL1055" s="25"/>
      <c r="FM1055" s="25"/>
      <c r="FN1055" s="25"/>
      <c r="FO1055" s="25"/>
      <c r="FP1055" s="25"/>
      <c r="FQ1055" s="25"/>
      <c r="FR1055" s="25"/>
      <c r="FS1055" s="25"/>
      <c r="FT1055" s="25"/>
      <c r="FU1055" s="25"/>
      <c r="FV1055" s="28"/>
      <c r="FW1055" s="27"/>
      <c r="FX1055" s="27"/>
      <c r="FY1055" s="25"/>
      <c r="FZ1055" s="25"/>
      <c r="GA1055" s="25"/>
      <c r="GB1055" s="25"/>
      <c r="GC1055" s="25"/>
      <c r="GD1055" s="25"/>
      <c r="GE1055" s="25"/>
      <c r="GF1055" s="25"/>
      <c r="GG1055" s="25"/>
      <c r="GH1055" s="25"/>
      <c r="GI1055" s="25"/>
      <c r="GJ1055" s="25"/>
      <c r="GK1055" s="25"/>
      <c r="GL1055" s="25"/>
      <c r="GM1055" s="25"/>
      <c r="GN1055" s="25"/>
      <c r="GO1055" s="25"/>
      <c r="GP1055" s="25"/>
      <c r="GQ1055" s="25"/>
      <c r="GR1055" s="25"/>
      <c r="GS1055" s="25"/>
      <c r="GT1055" s="25"/>
      <c r="GU1055" s="25"/>
      <c r="GV1055" s="25"/>
      <c r="GW1055" s="25"/>
      <c r="GX1055" s="25"/>
      <c r="GY1055" s="25"/>
      <c r="GZ1055" s="25"/>
      <c r="HA1055" s="25"/>
      <c r="HB1055" s="25"/>
      <c r="HC1055" s="25"/>
      <c r="HD1055" s="25"/>
      <c r="HE1055" s="25"/>
      <c r="HF1055" s="25"/>
      <c r="HG1055" s="25"/>
      <c r="HH1055" s="25"/>
      <c r="HI1055" s="25"/>
      <c r="HJ1055" s="25"/>
      <c r="HK1055" s="25"/>
      <c r="HL1055" s="25"/>
    </row>
    <row r="1056" spans="1:220" ht="15.75" customHeight="1" x14ac:dyDescent="0.2">
      <c r="A1056" s="25"/>
      <c r="B1056" s="29"/>
      <c r="C1056" s="26"/>
      <c r="D1056" s="29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  <c r="CA1056" s="25"/>
      <c r="CB1056" s="25"/>
      <c r="CC1056" s="25"/>
      <c r="CD1056" s="25"/>
      <c r="CE1056" s="25"/>
      <c r="CF1056" s="25"/>
      <c r="CG1056" s="25"/>
      <c r="CH1056" s="25"/>
      <c r="CI1056" s="25"/>
      <c r="CJ1056" s="25"/>
      <c r="CK1056" s="25"/>
      <c r="CL1056" s="25"/>
      <c r="CM1056" s="25"/>
      <c r="CN1056" s="25"/>
      <c r="CO1056" s="25"/>
      <c r="CP1056" s="25"/>
      <c r="CQ1056" s="25"/>
      <c r="CR1056" s="25"/>
      <c r="CS1056" s="25"/>
      <c r="CT1056" s="25"/>
      <c r="CU1056" s="25"/>
      <c r="CV1056" s="25"/>
      <c r="CW1056" s="25"/>
      <c r="CX1056" s="25"/>
      <c r="CY1056" s="25"/>
      <c r="CZ1056" s="25"/>
      <c r="DA1056" s="25"/>
      <c r="DB1056" s="25"/>
      <c r="DC1056" s="25"/>
      <c r="DD1056" s="25"/>
      <c r="DE1056" s="25"/>
      <c r="DF1056" s="25"/>
      <c r="DG1056" s="25"/>
      <c r="DH1056" s="25"/>
      <c r="DI1056" s="25"/>
      <c r="DJ1056" s="25"/>
      <c r="DK1056" s="25"/>
      <c r="DL1056" s="25"/>
      <c r="DM1056" s="25"/>
      <c r="DN1056" s="25"/>
      <c r="DO1056" s="25"/>
      <c r="DP1056" s="25"/>
      <c r="DQ1056" s="25"/>
      <c r="DR1056" s="25"/>
      <c r="DS1056" s="25"/>
      <c r="DT1056" s="25"/>
      <c r="DU1056" s="25"/>
      <c r="DV1056" s="25"/>
      <c r="DW1056" s="25"/>
      <c r="DX1056" s="25"/>
      <c r="DY1056" s="25"/>
      <c r="DZ1056" s="25"/>
      <c r="EA1056" s="25"/>
      <c r="EB1056" s="25"/>
      <c r="EC1056" s="25"/>
      <c r="ED1056" s="25"/>
      <c r="EE1056" s="25"/>
      <c r="EF1056" s="25"/>
      <c r="EG1056" s="25"/>
      <c r="EH1056" s="25"/>
      <c r="EI1056" s="25"/>
      <c r="EJ1056" s="25"/>
      <c r="EK1056" s="25"/>
      <c r="EL1056" s="25"/>
      <c r="EM1056" s="25"/>
      <c r="EN1056" s="25"/>
      <c r="EO1056" s="25"/>
      <c r="EP1056" s="25"/>
      <c r="EQ1056" s="25"/>
      <c r="ER1056" s="25"/>
      <c r="ES1056" s="25"/>
      <c r="ET1056" s="25"/>
      <c r="EU1056" s="25"/>
      <c r="EV1056" s="25"/>
      <c r="EW1056" s="25"/>
      <c r="EX1056" s="25"/>
      <c r="EY1056" s="25"/>
      <c r="EZ1056" s="25"/>
      <c r="FA1056" s="25"/>
      <c r="FB1056" s="25"/>
      <c r="FC1056" s="25"/>
      <c r="FD1056" s="25"/>
      <c r="FE1056" s="25"/>
      <c r="FF1056" s="25"/>
      <c r="FG1056" s="25"/>
      <c r="FH1056" s="25"/>
      <c r="FI1056" s="25"/>
      <c r="FJ1056" s="25"/>
      <c r="FK1056" s="25"/>
      <c r="FL1056" s="25"/>
      <c r="FM1056" s="25"/>
      <c r="FN1056" s="25"/>
      <c r="FO1056" s="25"/>
      <c r="FP1056" s="25"/>
      <c r="FQ1056" s="25"/>
      <c r="FR1056" s="25"/>
      <c r="FS1056" s="25"/>
      <c r="FT1056" s="25"/>
      <c r="FU1056" s="25"/>
      <c r="FV1056" s="28"/>
      <c r="FW1056" s="27"/>
      <c r="FX1056" s="27"/>
      <c r="FY1056" s="25"/>
      <c r="FZ1056" s="25"/>
      <c r="GA1056" s="25"/>
      <c r="GB1056" s="25"/>
      <c r="GC1056" s="25"/>
      <c r="GD1056" s="25"/>
      <c r="GE1056" s="25"/>
      <c r="GF1056" s="25"/>
      <c r="GG1056" s="25"/>
      <c r="GH1056" s="25"/>
      <c r="GI1056" s="25"/>
      <c r="GJ1056" s="25"/>
      <c r="GK1056" s="25"/>
      <c r="GL1056" s="25"/>
      <c r="GM1056" s="25"/>
      <c r="GN1056" s="25"/>
      <c r="GO1056" s="25"/>
      <c r="GP1056" s="25"/>
      <c r="GQ1056" s="25"/>
      <c r="GR1056" s="25"/>
      <c r="GS1056" s="25"/>
      <c r="GT1056" s="25"/>
      <c r="GU1056" s="25"/>
      <c r="GV1056" s="25"/>
      <c r="GW1056" s="25"/>
      <c r="GX1056" s="25"/>
      <c r="GY1056" s="25"/>
      <c r="GZ1056" s="25"/>
      <c r="HA1056" s="25"/>
      <c r="HB1056" s="25"/>
      <c r="HC1056" s="25"/>
      <c r="HD1056" s="25"/>
      <c r="HE1056" s="25"/>
      <c r="HF1056" s="25"/>
      <c r="HG1056" s="25"/>
      <c r="HH1056" s="25"/>
      <c r="HI1056" s="25"/>
      <c r="HJ1056" s="25"/>
      <c r="HK1056" s="25"/>
      <c r="HL1056" s="25"/>
    </row>
    <row r="1057" spans="1:220" ht="15.75" customHeight="1" x14ac:dyDescent="0.2">
      <c r="A1057" s="25"/>
      <c r="B1057" s="29"/>
      <c r="C1057" s="26"/>
      <c r="D1057" s="29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  <c r="CM1057" s="25"/>
      <c r="CN1057" s="25"/>
      <c r="CO1057" s="25"/>
      <c r="CP1057" s="25"/>
      <c r="CQ1057" s="25"/>
      <c r="CR1057" s="25"/>
      <c r="CS1057" s="25"/>
      <c r="CT1057" s="25"/>
      <c r="CU1057" s="25"/>
      <c r="CV1057" s="25"/>
      <c r="CW1057" s="25"/>
      <c r="CX1057" s="25"/>
      <c r="CY1057" s="25"/>
      <c r="CZ1057" s="25"/>
      <c r="DA1057" s="25"/>
      <c r="DB1057" s="25"/>
      <c r="DC1057" s="25"/>
      <c r="DD1057" s="25"/>
      <c r="DE1057" s="25"/>
      <c r="DF1057" s="25"/>
      <c r="DG1057" s="25"/>
      <c r="DH1057" s="25"/>
      <c r="DI1057" s="25"/>
      <c r="DJ1057" s="25"/>
      <c r="DK1057" s="25"/>
      <c r="DL1057" s="25"/>
      <c r="DM1057" s="25"/>
      <c r="DN1057" s="25"/>
      <c r="DO1057" s="25"/>
      <c r="DP1057" s="25"/>
      <c r="DQ1057" s="25"/>
      <c r="DR1057" s="25"/>
      <c r="DS1057" s="25"/>
      <c r="DT1057" s="25"/>
      <c r="DU1057" s="25"/>
      <c r="DV1057" s="25"/>
      <c r="DW1057" s="25"/>
      <c r="DX1057" s="25"/>
      <c r="DY1057" s="25"/>
      <c r="DZ1057" s="25"/>
      <c r="EA1057" s="25"/>
      <c r="EB1057" s="25"/>
      <c r="EC1057" s="25"/>
      <c r="ED1057" s="25"/>
      <c r="EE1057" s="25"/>
      <c r="EF1057" s="25"/>
      <c r="EG1057" s="25"/>
      <c r="EH1057" s="25"/>
      <c r="EI1057" s="25"/>
      <c r="EJ1057" s="25"/>
      <c r="EK1057" s="25"/>
      <c r="EL1057" s="25"/>
      <c r="EM1057" s="25"/>
      <c r="EN1057" s="25"/>
      <c r="EO1057" s="25"/>
      <c r="EP1057" s="25"/>
      <c r="EQ1057" s="25"/>
      <c r="ER1057" s="25"/>
      <c r="ES1057" s="25"/>
      <c r="ET1057" s="25"/>
      <c r="EU1057" s="25"/>
      <c r="EV1057" s="25"/>
      <c r="EW1057" s="25"/>
      <c r="EX1057" s="25"/>
      <c r="EY1057" s="25"/>
      <c r="EZ1057" s="25"/>
      <c r="FA1057" s="25"/>
      <c r="FB1057" s="25"/>
      <c r="FC1057" s="25"/>
      <c r="FD1057" s="25"/>
      <c r="FE1057" s="25"/>
      <c r="FF1057" s="25"/>
      <c r="FG1057" s="25"/>
      <c r="FH1057" s="25"/>
      <c r="FI1057" s="25"/>
      <c r="FJ1057" s="25"/>
      <c r="FK1057" s="25"/>
      <c r="FL1057" s="25"/>
      <c r="FM1057" s="25"/>
      <c r="FN1057" s="25"/>
      <c r="FO1057" s="25"/>
      <c r="FP1057" s="25"/>
      <c r="FQ1057" s="25"/>
      <c r="FR1057" s="25"/>
      <c r="FS1057" s="25"/>
      <c r="FT1057" s="25"/>
      <c r="FU1057" s="25"/>
      <c r="FV1057" s="28"/>
      <c r="FW1057" s="27"/>
      <c r="FX1057" s="27"/>
      <c r="FY1057" s="25"/>
      <c r="FZ1057" s="25"/>
      <c r="GA1057" s="25"/>
      <c r="GB1057" s="25"/>
      <c r="GC1057" s="25"/>
      <c r="GD1057" s="25"/>
      <c r="GE1057" s="25"/>
      <c r="GF1057" s="25"/>
      <c r="GG1057" s="25"/>
      <c r="GH1057" s="25"/>
      <c r="GI1057" s="25"/>
      <c r="GJ1057" s="25"/>
      <c r="GK1057" s="25"/>
      <c r="GL1057" s="25"/>
      <c r="GM1057" s="25"/>
      <c r="GN1057" s="25"/>
      <c r="GO1057" s="25"/>
      <c r="GP1057" s="25"/>
      <c r="GQ1057" s="25"/>
      <c r="GR1057" s="25"/>
      <c r="GS1057" s="25"/>
      <c r="GT1057" s="25"/>
      <c r="GU1057" s="25"/>
      <c r="GV1057" s="25"/>
      <c r="GW1057" s="25"/>
      <c r="GX1057" s="25"/>
      <c r="GY1057" s="25"/>
      <c r="GZ1057" s="25"/>
      <c r="HA1057" s="25"/>
      <c r="HB1057" s="25"/>
      <c r="HC1057" s="25"/>
      <c r="HD1057" s="25"/>
      <c r="HE1057" s="25"/>
      <c r="HF1057" s="25"/>
      <c r="HG1057" s="25"/>
      <c r="HH1057" s="25"/>
      <c r="HI1057" s="25"/>
      <c r="HJ1057" s="25"/>
      <c r="HK1057" s="25"/>
      <c r="HL1057" s="25"/>
    </row>
    <row r="1058" spans="1:220" ht="15.75" customHeight="1" x14ac:dyDescent="0.2">
      <c r="A1058" s="25"/>
      <c r="B1058" s="29"/>
      <c r="C1058" s="26"/>
      <c r="D1058" s="29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  <c r="CA1058" s="25"/>
      <c r="CB1058" s="25"/>
      <c r="CC1058" s="25"/>
      <c r="CD1058" s="25"/>
      <c r="CE1058" s="25"/>
      <c r="CF1058" s="25"/>
      <c r="CG1058" s="25"/>
      <c r="CH1058" s="25"/>
      <c r="CI1058" s="25"/>
      <c r="CJ1058" s="25"/>
      <c r="CK1058" s="25"/>
      <c r="CL1058" s="25"/>
      <c r="CM1058" s="25"/>
      <c r="CN1058" s="25"/>
      <c r="CO1058" s="25"/>
      <c r="CP1058" s="25"/>
      <c r="CQ1058" s="25"/>
      <c r="CR1058" s="25"/>
      <c r="CS1058" s="25"/>
      <c r="CT1058" s="25"/>
      <c r="CU1058" s="25"/>
      <c r="CV1058" s="25"/>
      <c r="CW1058" s="25"/>
      <c r="CX1058" s="25"/>
      <c r="CY1058" s="25"/>
      <c r="CZ1058" s="25"/>
      <c r="DA1058" s="25"/>
      <c r="DB1058" s="25"/>
      <c r="DC1058" s="25"/>
      <c r="DD1058" s="25"/>
      <c r="DE1058" s="25"/>
      <c r="DF1058" s="25"/>
      <c r="DG1058" s="25"/>
      <c r="DH1058" s="25"/>
      <c r="DI1058" s="25"/>
      <c r="DJ1058" s="25"/>
      <c r="DK1058" s="25"/>
      <c r="DL1058" s="25"/>
      <c r="DM1058" s="25"/>
      <c r="DN1058" s="25"/>
      <c r="DO1058" s="25"/>
      <c r="DP1058" s="25"/>
      <c r="DQ1058" s="25"/>
      <c r="DR1058" s="25"/>
      <c r="DS1058" s="25"/>
      <c r="DT1058" s="25"/>
      <c r="DU1058" s="25"/>
      <c r="DV1058" s="25"/>
      <c r="DW1058" s="25"/>
      <c r="DX1058" s="25"/>
      <c r="DY1058" s="25"/>
      <c r="DZ1058" s="25"/>
      <c r="EA1058" s="25"/>
      <c r="EB1058" s="25"/>
      <c r="EC1058" s="25"/>
      <c r="ED1058" s="25"/>
      <c r="EE1058" s="25"/>
      <c r="EF1058" s="25"/>
      <c r="EG1058" s="25"/>
      <c r="EH1058" s="25"/>
      <c r="EI1058" s="25"/>
      <c r="EJ1058" s="25"/>
      <c r="EK1058" s="25"/>
      <c r="EL1058" s="25"/>
      <c r="EM1058" s="25"/>
      <c r="EN1058" s="25"/>
      <c r="EO1058" s="25"/>
      <c r="EP1058" s="25"/>
      <c r="EQ1058" s="25"/>
      <c r="ER1058" s="25"/>
      <c r="ES1058" s="25"/>
      <c r="ET1058" s="25"/>
      <c r="EU1058" s="25"/>
      <c r="EV1058" s="25"/>
      <c r="EW1058" s="25"/>
      <c r="EX1058" s="25"/>
      <c r="EY1058" s="25"/>
      <c r="EZ1058" s="25"/>
      <c r="FA1058" s="25"/>
      <c r="FB1058" s="25"/>
      <c r="FC1058" s="25"/>
      <c r="FD1058" s="25"/>
      <c r="FE1058" s="25"/>
      <c r="FF1058" s="25"/>
      <c r="FG1058" s="25"/>
      <c r="FH1058" s="25"/>
      <c r="FI1058" s="25"/>
      <c r="FJ1058" s="25"/>
      <c r="FK1058" s="25"/>
      <c r="FL1058" s="25"/>
      <c r="FM1058" s="25"/>
      <c r="FN1058" s="25"/>
      <c r="FO1058" s="25"/>
      <c r="FP1058" s="25"/>
      <c r="FQ1058" s="25"/>
      <c r="FR1058" s="25"/>
      <c r="FS1058" s="25"/>
      <c r="FT1058" s="25"/>
      <c r="FU1058" s="25"/>
      <c r="FV1058" s="28"/>
      <c r="FW1058" s="27"/>
      <c r="FX1058" s="27"/>
      <c r="FY1058" s="25"/>
      <c r="FZ1058" s="25"/>
      <c r="GA1058" s="25"/>
      <c r="GB1058" s="25"/>
      <c r="GC1058" s="25"/>
      <c r="GD1058" s="25"/>
      <c r="GE1058" s="25"/>
      <c r="GF1058" s="25"/>
      <c r="GG1058" s="25"/>
      <c r="GH1058" s="25"/>
      <c r="GI1058" s="25"/>
      <c r="GJ1058" s="25"/>
      <c r="GK1058" s="25"/>
      <c r="GL1058" s="25"/>
      <c r="GM1058" s="25"/>
      <c r="GN1058" s="25"/>
      <c r="GO1058" s="25"/>
      <c r="GP1058" s="25"/>
      <c r="GQ1058" s="25"/>
      <c r="GR1058" s="25"/>
      <c r="GS1058" s="25"/>
      <c r="GT1058" s="25"/>
      <c r="GU1058" s="25"/>
      <c r="GV1058" s="25"/>
      <c r="GW1058" s="25"/>
      <c r="GX1058" s="25"/>
      <c r="GY1058" s="25"/>
      <c r="GZ1058" s="25"/>
      <c r="HA1058" s="25"/>
      <c r="HB1058" s="25"/>
      <c r="HC1058" s="25"/>
      <c r="HD1058" s="25"/>
      <c r="HE1058" s="25"/>
      <c r="HF1058" s="25"/>
      <c r="HG1058" s="25"/>
      <c r="HH1058" s="25"/>
      <c r="HI1058" s="25"/>
      <c r="HJ1058" s="25"/>
      <c r="HK1058" s="25"/>
      <c r="HL1058" s="25"/>
    </row>
    <row r="1059" spans="1:220" ht="15.75" customHeight="1" x14ac:dyDescent="0.2">
      <c r="A1059" s="25"/>
      <c r="B1059" s="29"/>
      <c r="C1059" s="26"/>
      <c r="D1059" s="29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  <c r="CA1059" s="25"/>
      <c r="CB1059" s="25"/>
      <c r="CC1059" s="25"/>
      <c r="CD1059" s="25"/>
      <c r="CE1059" s="25"/>
      <c r="CF1059" s="25"/>
      <c r="CG1059" s="25"/>
      <c r="CH1059" s="25"/>
      <c r="CI1059" s="25"/>
      <c r="CJ1059" s="25"/>
      <c r="CK1059" s="25"/>
      <c r="CL1059" s="25"/>
      <c r="CM1059" s="25"/>
      <c r="CN1059" s="25"/>
      <c r="CO1059" s="25"/>
      <c r="CP1059" s="25"/>
      <c r="CQ1059" s="25"/>
      <c r="CR1059" s="25"/>
      <c r="CS1059" s="25"/>
      <c r="CT1059" s="25"/>
      <c r="CU1059" s="25"/>
      <c r="CV1059" s="25"/>
      <c r="CW1059" s="25"/>
      <c r="CX1059" s="25"/>
      <c r="CY1059" s="25"/>
      <c r="CZ1059" s="25"/>
      <c r="DA1059" s="25"/>
      <c r="DB1059" s="25"/>
      <c r="DC1059" s="25"/>
      <c r="DD1059" s="25"/>
      <c r="DE1059" s="25"/>
      <c r="DF1059" s="25"/>
      <c r="DG1059" s="25"/>
      <c r="DH1059" s="25"/>
      <c r="DI1059" s="25"/>
      <c r="DJ1059" s="25"/>
      <c r="DK1059" s="25"/>
      <c r="DL1059" s="25"/>
      <c r="DM1059" s="25"/>
      <c r="DN1059" s="25"/>
      <c r="DO1059" s="25"/>
      <c r="DP1059" s="25"/>
      <c r="DQ1059" s="25"/>
      <c r="DR1059" s="25"/>
      <c r="DS1059" s="25"/>
      <c r="DT1059" s="25"/>
      <c r="DU1059" s="25"/>
      <c r="DV1059" s="25"/>
      <c r="DW1059" s="25"/>
      <c r="DX1059" s="25"/>
      <c r="DY1059" s="25"/>
      <c r="DZ1059" s="25"/>
      <c r="EA1059" s="25"/>
      <c r="EB1059" s="25"/>
      <c r="EC1059" s="25"/>
      <c r="ED1059" s="25"/>
      <c r="EE1059" s="25"/>
      <c r="EF1059" s="25"/>
      <c r="EG1059" s="25"/>
      <c r="EH1059" s="25"/>
      <c r="EI1059" s="25"/>
      <c r="EJ1059" s="25"/>
      <c r="EK1059" s="25"/>
      <c r="EL1059" s="25"/>
      <c r="EM1059" s="25"/>
      <c r="EN1059" s="25"/>
      <c r="EO1059" s="25"/>
      <c r="EP1059" s="25"/>
      <c r="EQ1059" s="25"/>
      <c r="ER1059" s="25"/>
      <c r="ES1059" s="25"/>
      <c r="ET1059" s="25"/>
      <c r="EU1059" s="25"/>
      <c r="EV1059" s="25"/>
      <c r="EW1059" s="25"/>
      <c r="EX1059" s="25"/>
      <c r="EY1059" s="25"/>
      <c r="EZ1059" s="25"/>
      <c r="FA1059" s="25"/>
      <c r="FB1059" s="25"/>
      <c r="FC1059" s="25"/>
      <c r="FD1059" s="25"/>
      <c r="FE1059" s="25"/>
      <c r="FF1059" s="25"/>
      <c r="FG1059" s="25"/>
      <c r="FH1059" s="25"/>
      <c r="FI1059" s="25"/>
      <c r="FJ1059" s="25"/>
      <c r="FK1059" s="25"/>
      <c r="FL1059" s="25"/>
      <c r="FM1059" s="25"/>
      <c r="FN1059" s="25"/>
      <c r="FO1059" s="25"/>
      <c r="FP1059" s="25"/>
      <c r="FQ1059" s="25"/>
      <c r="FR1059" s="25"/>
      <c r="FS1059" s="25"/>
      <c r="FT1059" s="25"/>
      <c r="FU1059" s="25"/>
      <c r="FV1059" s="28"/>
      <c r="FW1059" s="27"/>
      <c r="FX1059" s="27"/>
      <c r="FY1059" s="25"/>
      <c r="FZ1059" s="25"/>
      <c r="GA1059" s="25"/>
      <c r="GB1059" s="25"/>
      <c r="GC1059" s="25"/>
      <c r="GD1059" s="25"/>
      <c r="GE1059" s="25"/>
      <c r="GF1059" s="25"/>
      <c r="GG1059" s="25"/>
      <c r="GH1059" s="25"/>
      <c r="GI1059" s="25"/>
      <c r="GJ1059" s="25"/>
      <c r="GK1059" s="25"/>
      <c r="GL1059" s="25"/>
      <c r="GM1059" s="25"/>
      <c r="GN1059" s="25"/>
      <c r="GO1059" s="25"/>
      <c r="GP1059" s="25"/>
      <c r="GQ1059" s="25"/>
      <c r="GR1059" s="25"/>
      <c r="GS1059" s="25"/>
      <c r="GT1059" s="25"/>
      <c r="GU1059" s="25"/>
      <c r="GV1059" s="25"/>
      <c r="GW1059" s="25"/>
      <c r="GX1059" s="25"/>
      <c r="GY1059" s="25"/>
      <c r="GZ1059" s="25"/>
      <c r="HA1059" s="25"/>
      <c r="HB1059" s="25"/>
      <c r="HC1059" s="25"/>
      <c r="HD1059" s="25"/>
      <c r="HE1059" s="25"/>
      <c r="HF1059" s="25"/>
      <c r="HG1059" s="25"/>
      <c r="HH1059" s="25"/>
      <c r="HI1059" s="25"/>
      <c r="HJ1059" s="25"/>
      <c r="HK1059" s="25"/>
      <c r="HL1059" s="25"/>
    </row>
    <row r="1060" spans="1:220" ht="15.75" customHeight="1" x14ac:dyDescent="0.2">
      <c r="A1060" s="25"/>
      <c r="B1060" s="29"/>
      <c r="C1060" s="26"/>
      <c r="D1060" s="29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  <c r="CA1060" s="25"/>
      <c r="CB1060" s="25"/>
      <c r="CC1060" s="25"/>
      <c r="CD1060" s="25"/>
      <c r="CE1060" s="25"/>
      <c r="CF1060" s="25"/>
      <c r="CG1060" s="25"/>
      <c r="CH1060" s="25"/>
      <c r="CI1060" s="25"/>
      <c r="CJ1060" s="25"/>
      <c r="CK1060" s="25"/>
      <c r="CL1060" s="25"/>
      <c r="CM1060" s="25"/>
      <c r="CN1060" s="25"/>
      <c r="CO1060" s="25"/>
      <c r="CP1060" s="25"/>
      <c r="CQ1060" s="25"/>
      <c r="CR1060" s="25"/>
      <c r="CS1060" s="25"/>
      <c r="CT1060" s="25"/>
      <c r="CU1060" s="25"/>
      <c r="CV1060" s="25"/>
      <c r="CW1060" s="25"/>
      <c r="CX1060" s="25"/>
      <c r="CY1060" s="25"/>
      <c r="CZ1060" s="25"/>
      <c r="DA1060" s="25"/>
      <c r="DB1060" s="25"/>
      <c r="DC1060" s="25"/>
      <c r="DD1060" s="25"/>
      <c r="DE1060" s="25"/>
      <c r="DF1060" s="25"/>
      <c r="DG1060" s="25"/>
      <c r="DH1060" s="25"/>
      <c r="DI1060" s="25"/>
      <c r="DJ1060" s="25"/>
      <c r="DK1060" s="25"/>
      <c r="DL1060" s="25"/>
      <c r="DM1060" s="25"/>
      <c r="DN1060" s="25"/>
      <c r="DO1060" s="25"/>
      <c r="DP1060" s="25"/>
      <c r="DQ1060" s="25"/>
      <c r="DR1060" s="25"/>
      <c r="DS1060" s="25"/>
      <c r="DT1060" s="25"/>
      <c r="DU1060" s="25"/>
      <c r="DV1060" s="25"/>
      <c r="DW1060" s="25"/>
      <c r="DX1060" s="25"/>
      <c r="DY1060" s="25"/>
      <c r="DZ1060" s="25"/>
      <c r="EA1060" s="25"/>
      <c r="EB1060" s="25"/>
      <c r="EC1060" s="25"/>
      <c r="ED1060" s="25"/>
      <c r="EE1060" s="25"/>
      <c r="EF1060" s="25"/>
      <c r="EG1060" s="25"/>
      <c r="EH1060" s="25"/>
      <c r="EI1060" s="25"/>
      <c r="EJ1060" s="25"/>
      <c r="EK1060" s="25"/>
      <c r="EL1060" s="25"/>
      <c r="EM1060" s="25"/>
      <c r="EN1060" s="25"/>
      <c r="EO1060" s="25"/>
      <c r="EP1060" s="25"/>
      <c r="EQ1060" s="25"/>
      <c r="ER1060" s="25"/>
      <c r="ES1060" s="25"/>
      <c r="ET1060" s="25"/>
      <c r="EU1060" s="25"/>
      <c r="EV1060" s="25"/>
      <c r="EW1060" s="25"/>
      <c r="EX1060" s="25"/>
      <c r="EY1060" s="25"/>
      <c r="EZ1060" s="25"/>
      <c r="FA1060" s="25"/>
      <c r="FB1060" s="25"/>
      <c r="FC1060" s="25"/>
      <c r="FD1060" s="25"/>
      <c r="FE1060" s="25"/>
      <c r="FF1060" s="25"/>
      <c r="FG1060" s="25"/>
      <c r="FH1060" s="25"/>
      <c r="FI1060" s="25"/>
      <c r="FJ1060" s="25"/>
      <c r="FK1060" s="25"/>
      <c r="FL1060" s="25"/>
      <c r="FM1060" s="25"/>
      <c r="FN1060" s="25"/>
      <c r="FO1060" s="25"/>
      <c r="FP1060" s="25"/>
      <c r="FQ1060" s="25"/>
      <c r="FR1060" s="25"/>
      <c r="FS1060" s="25"/>
      <c r="FT1060" s="25"/>
      <c r="FU1060" s="25"/>
      <c r="FV1060" s="28"/>
      <c r="FW1060" s="27"/>
      <c r="FX1060" s="27"/>
      <c r="FY1060" s="25"/>
      <c r="FZ1060" s="25"/>
      <c r="GA1060" s="25"/>
      <c r="GB1060" s="25"/>
      <c r="GC1060" s="25"/>
      <c r="GD1060" s="25"/>
      <c r="GE1060" s="25"/>
      <c r="GF1060" s="25"/>
      <c r="GG1060" s="25"/>
      <c r="GH1060" s="25"/>
      <c r="GI1060" s="25"/>
      <c r="GJ1060" s="25"/>
      <c r="GK1060" s="25"/>
      <c r="GL1060" s="25"/>
      <c r="GM1060" s="25"/>
      <c r="GN1060" s="25"/>
      <c r="GO1060" s="25"/>
      <c r="GP1060" s="25"/>
      <c r="GQ1060" s="25"/>
      <c r="GR1060" s="25"/>
      <c r="GS1060" s="25"/>
      <c r="GT1060" s="25"/>
      <c r="GU1060" s="25"/>
      <c r="GV1060" s="25"/>
      <c r="GW1060" s="25"/>
      <c r="GX1060" s="25"/>
      <c r="GY1060" s="25"/>
      <c r="GZ1060" s="25"/>
      <c r="HA1060" s="25"/>
      <c r="HB1060" s="25"/>
      <c r="HC1060" s="25"/>
      <c r="HD1060" s="25"/>
      <c r="HE1060" s="25"/>
      <c r="HF1060" s="25"/>
      <c r="HG1060" s="25"/>
      <c r="HH1060" s="25"/>
      <c r="HI1060" s="25"/>
      <c r="HJ1060" s="25"/>
      <c r="HK1060" s="25"/>
      <c r="HL1060" s="25"/>
    </row>
    <row r="1061" spans="1:220" ht="15.75" customHeight="1" x14ac:dyDescent="0.2">
      <c r="A1061" s="25"/>
      <c r="B1061" s="29"/>
      <c r="C1061" s="26"/>
      <c r="D1061" s="29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  <c r="CA1061" s="25"/>
      <c r="CB1061" s="25"/>
      <c r="CC1061" s="25"/>
      <c r="CD1061" s="25"/>
      <c r="CE1061" s="25"/>
      <c r="CF1061" s="25"/>
      <c r="CG1061" s="25"/>
      <c r="CH1061" s="25"/>
      <c r="CI1061" s="25"/>
      <c r="CJ1061" s="25"/>
      <c r="CK1061" s="25"/>
      <c r="CL1061" s="25"/>
      <c r="CM1061" s="25"/>
      <c r="CN1061" s="25"/>
      <c r="CO1061" s="25"/>
      <c r="CP1061" s="25"/>
      <c r="CQ1061" s="25"/>
      <c r="CR1061" s="25"/>
      <c r="CS1061" s="25"/>
      <c r="CT1061" s="25"/>
      <c r="CU1061" s="25"/>
      <c r="CV1061" s="25"/>
      <c r="CW1061" s="25"/>
      <c r="CX1061" s="25"/>
      <c r="CY1061" s="25"/>
      <c r="CZ1061" s="25"/>
      <c r="DA1061" s="25"/>
      <c r="DB1061" s="25"/>
      <c r="DC1061" s="25"/>
      <c r="DD1061" s="25"/>
      <c r="DE1061" s="25"/>
      <c r="DF1061" s="25"/>
      <c r="DG1061" s="25"/>
      <c r="DH1061" s="25"/>
      <c r="DI1061" s="25"/>
      <c r="DJ1061" s="25"/>
      <c r="DK1061" s="25"/>
      <c r="DL1061" s="25"/>
      <c r="DM1061" s="25"/>
      <c r="DN1061" s="25"/>
      <c r="DO1061" s="25"/>
      <c r="DP1061" s="25"/>
      <c r="DQ1061" s="25"/>
      <c r="DR1061" s="25"/>
      <c r="DS1061" s="25"/>
      <c r="DT1061" s="25"/>
      <c r="DU1061" s="25"/>
      <c r="DV1061" s="25"/>
      <c r="DW1061" s="25"/>
      <c r="DX1061" s="25"/>
      <c r="DY1061" s="25"/>
      <c r="DZ1061" s="25"/>
      <c r="EA1061" s="25"/>
      <c r="EB1061" s="25"/>
      <c r="EC1061" s="25"/>
      <c r="ED1061" s="25"/>
      <c r="EE1061" s="25"/>
      <c r="EF1061" s="25"/>
      <c r="EG1061" s="25"/>
      <c r="EH1061" s="25"/>
      <c r="EI1061" s="25"/>
      <c r="EJ1061" s="25"/>
      <c r="EK1061" s="25"/>
      <c r="EL1061" s="25"/>
      <c r="EM1061" s="25"/>
      <c r="EN1061" s="25"/>
      <c r="EO1061" s="25"/>
      <c r="EP1061" s="25"/>
      <c r="EQ1061" s="25"/>
      <c r="ER1061" s="25"/>
      <c r="ES1061" s="25"/>
      <c r="ET1061" s="25"/>
      <c r="EU1061" s="25"/>
      <c r="EV1061" s="25"/>
      <c r="EW1061" s="25"/>
      <c r="EX1061" s="25"/>
      <c r="EY1061" s="25"/>
      <c r="EZ1061" s="25"/>
      <c r="FA1061" s="25"/>
      <c r="FB1061" s="25"/>
      <c r="FC1061" s="25"/>
      <c r="FD1061" s="25"/>
      <c r="FE1061" s="25"/>
      <c r="FF1061" s="25"/>
      <c r="FG1061" s="25"/>
      <c r="FH1061" s="25"/>
      <c r="FI1061" s="25"/>
      <c r="FJ1061" s="25"/>
      <c r="FK1061" s="25"/>
      <c r="FL1061" s="25"/>
      <c r="FM1061" s="25"/>
      <c r="FN1061" s="25"/>
      <c r="FO1061" s="25"/>
      <c r="FP1061" s="25"/>
      <c r="FQ1061" s="25"/>
      <c r="FR1061" s="25"/>
      <c r="FS1061" s="25"/>
      <c r="FT1061" s="25"/>
      <c r="FU1061" s="25"/>
      <c r="FV1061" s="28"/>
      <c r="FW1061" s="27"/>
      <c r="FX1061" s="27"/>
      <c r="FY1061" s="25"/>
      <c r="FZ1061" s="25"/>
      <c r="GA1061" s="25"/>
      <c r="GB1061" s="25"/>
      <c r="GC1061" s="25"/>
      <c r="GD1061" s="25"/>
      <c r="GE1061" s="25"/>
      <c r="GF1061" s="25"/>
      <c r="GG1061" s="25"/>
      <c r="GH1061" s="25"/>
      <c r="GI1061" s="25"/>
      <c r="GJ1061" s="25"/>
      <c r="GK1061" s="25"/>
      <c r="GL1061" s="25"/>
      <c r="GM1061" s="25"/>
      <c r="GN1061" s="25"/>
      <c r="GO1061" s="25"/>
      <c r="GP1061" s="25"/>
      <c r="GQ1061" s="25"/>
      <c r="GR1061" s="25"/>
      <c r="GS1061" s="25"/>
      <c r="GT1061" s="25"/>
      <c r="GU1061" s="25"/>
      <c r="GV1061" s="25"/>
      <c r="GW1061" s="25"/>
      <c r="GX1061" s="25"/>
      <c r="GY1061" s="25"/>
      <c r="GZ1061" s="25"/>
      <c r="HA1061" s="25"/>
      <c r="HB1061" s="25"/>
      <c r="HC1061" s="25"/>
      <c r="HD1061" s="25"/>
      <c r="HE1061" s="25"/>
      <c r="HF1061" s="25"/>
      <c r="HG1061" s="25"/>
      <c r="HH1061" s="25"/>
      <c r="HI1061" s="25"/>
      <c r="HJ1061" s="25"/>
      <c r="HK1061" s="25"/>
      <c r="HL1061" s="25"/>
    </row>
    <row r="1062" spans="1:220" ht="15.75" customHeight="1" x14ac:dyDescent="0.2">
      <c r="A1062" s="25"/>
      <c r="B1062" s="29"/>
      <c r="C1062" s="26"/>
      <c r="D1062" s="29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  <c r="CA1062" s="25"/>
      <c r="CB1062" s="25"/>
      <c r="CC1062" s="25"/>
      <c r="CD1062" s="25"/>
      <c r="CE1062" s="25"/>
      <c r="CF1062" s="25"/>
      <c r="CG1062" s="25"/>
      <c r="CH1062" s="25"/>
      <c r="CI1062" s="25"/>
      <c r="CJ1062" s="25"/>
      <c r="CK1062" s="25"/>
      <c r="CL1062" s="25"/>
      <c r="CM1062" s="25"/>
      <c r="CN1062" s="25"/>
      <c r="CO1062" s="25"/>
      <c r="CP1062" s="25"/>
      <c r="CQ1062" s="25"/>
      <c r="CR1062" s="25"/>
      <c r="CS1062" s="25"/>
      <c r="CT1062" s="25"/>
      <c r="CU1062" s="25"/>
      <c r="CV1062" s="25"/>
      <c r="CW1062" s="25"/>
      <c r="CX1062" s="25"/>
      <c r="CY1062" s="25"/>
      <c r="CZ1062" s="25"/>
      <c r="DA1062" s="25"/>
      <c r="DB1062" s="25"/>
      <c r="DC1062" s="25"/>
      <c r="DD1062" s="25"/>
      <c r="DE1062" s="25"/>
      <c r="DF1062" s="25"/>
      <c r="DG1062" s="25"/>
      <c r="DH1062" s="25"/>
      <c r="DI1062" s="25"/>
      <c r="DJ1062" s="25"/>
      <c r="DK1062" s="25"/>
      <c r="DL1062" s="25"/>
      <c r="DM1062" s="25"/>
      <c r="DN1062" s="25"/>
      <c r="DO1062" s="25"/>
      <c r="DP1062" s="25"/>
      <c r="DQ1062" s="25"/>
      <c r="DR1062" s="25"/>
      <c r="DS1062" s="25"/>
      <c r="DT1062" s="25"/>
      <c r="DU1062" s="25"/>
      <c r="DV1062" s="25"/>
      <c r="DW1062" s="25"/>
      <c r="DX1062" s="25"/>
      <c r="DY1062" s="25"/>
      <c r="DZ1062" s="25"/>
      <c r="EA1062" s="25"/>
      <c r="EB1062" s="25"/>
      <c r="EC1062" s="25"/>
      <c r="ED1062" s="25"/>
      <c r="EE1062" s="25"/>
      <c r="EF1062" s="25"/>
      <c r="EG1062" s="25"/>
      <c r="EH1062" s="25"/>
      <c r="EI1062" s="25"/>
      <c r="EJ1062" s="25"/>
      <c r="EK1062" s="25"/>
      <c r="EL1062" s="25"/>
      <c r="EM1062" s="25"/>
      <c r="EN1062" s="25"/>
      <c r="EO1062" s="25"/>
      <c r="EP1062" s="25"/>
      <c r="EQ1062" s="25"/>
      <c r="ER1062" s="25"/>
      <c r="ES1062" s="25"/>
      <c r="ET1062" s="25"/>
      <c r="EU1062" s="25"/>
      <c r="EV1062" s="25"/>
      <c r="EW1062" s="25"/>
      <c r="EX1062" s="25"/>
      <c r="EY1062" s="25"/>
      <c r="EZ1062" s="25"/>
      <c r="FA1062" s="25"/>
      <c r="FB1062" s="25"/>
      <c r="FC1062" s="25"/>
      <c r="FD1062" s="25"/>
      <c r="FE1062" s="25"/>
      <c r="FF1062" s="25"/>
      <c r="FG1062" s="25"/>
      <c r="FH1062" s="25"/>
      <c r="FI1062" s="25"/>
      <c r="FJ1062" s="25"/>
      <c r="FK1062" s="25"/>
      <c r="FL1062" s="25"/>
      <c r="FM1062" s="25"/>
      <c r="FN1062" s="25"/>
      <c r="FO1062" s="25"/>
      <c r="FP1062" s="25"/>
      <c r="FQ1062" s="25"/>
      <c r="FR1062" s="25"/>
      <c r="FS1062" s="25"/>
      <c r="FT1062" s="25"/>
      <c r="FU1062" s="25"/>
      <c r="FV1062" s="28"/>
      <c r="FW1062" s="27"/>
      <c r="FX1062" s="27"/>
      <c r="FY1062" s="25"/>
      <c r="FZ1062" s="25"/>
      <c r="GA1062" s="25"/>
      <c r="GB1062" s="25"/>
      <c r="GC1062" s="25"/>
      <c r="GD1062" s="25"/>
      <c r="GE1062" s="25"/>
      <c r="GF1062" s="25"/>
      <c r="GG1062" s="25"/>
      <c r="GH1062" s="25"/>
      <c r="GI1062" s="25"/>
      <c r="GJ1062" s="25"/>
      <c r="GK1062" s="25"/>
      <c r="GL1062" s="25"/>
      <c r="GM1062" s="25"/>
      <c r="GN1062" s="25"/>
      <c r="GO1062" s="25"/>
      <c r="GP1062" s="25"/>
      <c r="GQ1062" s="25"/>
      <c r="GR1062" s="25"/>
      <c r="GS1062" s="25"/>
      <c r="GT1062" s="25"/>
      <c r="GU1062" s="25"/>
      <c r="GV1062" s="25"/>
      <c r="GW1062" s="25"/>
      <c r="GX1062" s="25"/>
      <c r="GY1062" s="25"/>
      <c r="GZ1062" s="25"/>
      <c r="HA1062" s="25"/>
      <c r="HB1062" s="25"/>
      <c r="HC1062" s="25"/>
      <c r="HD1062" s="25"/>
      <c r="HE1062" s="25"/>
      <c r="HF1062" s="25"/>
      <c r="HG1062" s="25"/>
      <c r="HH1062" s="25"/>
      <c r="HI1062" s="25"/>
      <c r="HJ1062" s="25"/>
      <c r="HK1062" s="25"/>
      <c r="HL1062" s="25"/>
    </row>
    <row r="1063" spans="1:220" ht="15.75" customHeight="1" x14ac:dyDescent="0.2">
      <c r="A1063" s="25"/>
      <c r="B1063" s="29"/>
      <c r="C1063" s="26"/>
      <c r="D1063" s="29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  <c r="CA1063" s="25"/>
      <c r="CB1063" s="25"/>
      <c r="CC1063" s="25"/>
      <c r="CD1063" s="25"/>
      <c r="CE1063" s="25"/>
      <c r="CF1063" s="25"/>
      <c r="CG1063" s="25"/>
      <c r="CH1063" s="25"/>
      <c r="CI1063" s="25"/>
      <c r="CJ1063" s="25"/>
      <c r="CK1063" s="25"/>
      <c r="CL1063" s="25"/>
      <c r="CM1063" s="25"/>
      <c r="CN1063" s="25"/>
      <c r="CO1063" s="25"/>
      <c r="CP1063" s="25"/>
      <c r="CQ1063" s="25"/>
      <c r="CR1063" s="25"/>
      <c r="CS1063" s="25"/>
      <c r="CT1063" s="25"/>
      <c r="CU1063" s="25"/>
      <c r="CV1063" s="25"/>
      <c r="CW1063" s="25"/>
      <c r="CX1063" s="25"/>
      <c r="CY1063" s="25"/>
      <c r="CZ1063" s="25"/>
      <c r="DA1063" s="25"/>
      <c r="DB1063" s="25"/>
      <c r="DC1063" s="25"/>
      <c r="DD1063" s="25"/>
      <c r="DE1063" s="25"/>
      <c r="DF1063" s="25"/>
      <c r="DG1063" s="25"/>
      <c r="DH1063" s="25"/>
      <c r="DI1063" s="25"/>
      <c r="DJ1063" s="25"/>
      <c r="DK1063" s="25"/>
      <c r="DL1063" s="25"/>
      <c r="DM1063" s="25"/>
      <c r="DN1063" s="25"/>
      <c r="DO1063" s="25"/>
      <c r="DP1063" s="25"/>
      <c r="DQ1063" s="25"/>
      <c r="DR1063" s="25"/>
      <c r="DS1063" s="25"/>
      <c r="DT1063" s="25"/>
      <c r="DU1063" s="25"/>
      <c r="DV1063" s="25"/>
      <c r="DW1063" s="25"/>
      <c r="DX1063" s="25"/>
      <c r="DY1063" s="25"/>
      <c r="DZ1063" s="25"/>
      <c r="EA1063" s="25"/>
      <c r="EB1063" s="25"/>
      <c r="EC1063" s="25"/>
      <c r="ED1063" s="25"/>
      <c r="EE1063" s="25"/>
      <c r="EF1063" s="25"/>
      <c r="EG1063" s="25"/>
      <c r="EH1063" s="25"/>
      <c r="EI1063" s="25"/>
      <c r="EJ1063" s="25"/>
      <c r="EK1063" s="25"/>
      <c r="EL1063" s="25"/>
      <c r="EM1063" s="25"/>
      <c r="EN1063" s="25"/>
      <c r="EO1063" s="25"/>
      <c r="EP1063" s="25"/>
      <c r="EQ1063" s="25"/>
      <c r="ER1063" s="25"/>
      <c r="ES1063" s="25"/>
      <c r="ET1063" s="25"/>
      <c r="EU1063" s="25"/>
      <c r="EV1063" s="25"/>
      <c r="EW1063" s="25"/>
      <c r="EX1063" s="25"/>
      <c r="EY1063" s="25"/>
      <c r="EZ1063" s="25"/>
      <c r="FA1063" s="25"/>
      <c r="FB1063" s="25"/>
      <c r="FC1063" s="25"/>
      <c r="FD1063" s="25"/>
      <c r="FE1063" s="25"/>
      <c r="FF1063" s="25"/>
      <c r="FG1063" s="25"/>
      <c r="FH1063" s="25"/>
      <c r="FI1063" s="25"/>
      <c r="FJ1063" s="25"/>
      <c r="FK1063" s="25"/>
      <c r="FL1063" s="25"/>
      <c r="FM1063" s="25"/>
      <c r="FN1063" s="25"/>
      <c r="FO1063" s="25"/>
      <c r="FP1063" s="25"/>
      <c r="FQ1063" s="25"/>
      <c r="FR1063" s="25"/>
      <c r="FS1063" s="25"/>
      <c r="FT1063" s="25"/>
      <c r="FU1063" s="25"/>
      <c r="FV1063" s="28"/>
      <c r="FW1063" s="27"/>
      <c r="FX1063" s="27"/>
      <c r="FY1063" s="25"/>
      <c r="FZ1063" s="25"/>
      <c r="GA1063" s="25"/>
      <c r="GB1063" s="25"/>
      <c r="GC1063" s="25"/>
      <c r="GD1063" s="25"/>
      <c r="GE1063" s="25"/>
      <c r="GF1063" s="25"/>
      <c r="GG1063" s="25"/>
      <c r="GH1063" s="25"/>
      <c r="GI1063" s="25"/>
      <c r="GJ1063" s="25"/>
      <c r="GK1063" s="25"/>
      <c r="GL1063" s="25"/>
      <c r="GM1063" s="25"/>
      <c r="GN1063" s="25"/>
      <c r="GO1063" s="25"/>
      <c r="GP1063" s="25"/>
      <c r="GQ1063" s="25"/>
      <c r="GR1063" s="25"/>
      <c r="GS1063" s="25"/>
      <c r="GT1063" s="25"/>
      <c r="GU1063" s="25"/>
      <c r="GV1063" s="25"/>
      <c r="GW1063" s="25"/>
      <c r="GX1063" s="25"/>
      <c r="GY1063" s="25"/>
      <c r="GZ1063" s="25"/>
      <c r="HA1063" s="25"/>
      <c r="HB1063" s="25"/>
      <c r="HC1063" s="25"/>
      <c r="HD1063" s="25"/>
      <c r="HE1063" s="25"/>
      <c r="HF1063" s="25"/>
      <c r="HG1063" s="25"/>
      <c r="HH1063" s="25"/>
      <c r="HI1063" s="25"/>
      <c r="HJ1063" s="25"/>
      <c r="HK1063" s="25"/>
      <c r="HL1063" s="25"/>
    </row>
    <row r="1064" spans="1:220" ht="15.75" customHeight="1" x14ac:dyDescent="0.2">
      <c r="A1064" s="25"/>
      <c r="B1064" s="29"/>
      <c r="C1064" s="26"/>
      <c r="D1064" s="29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  <c r="CA1064" s="25"/>
      <c r="CB1064" s="25"/>
      <c r="CC1064" s="25"/>
      <c r="CD1064" s="25"/>
      <c r="CE1064" s="25"/>
      <c r="CF1064" s="25"/>
      <c r="CG1064" s="25"/>
      <c r="CH1064" s="25"/>
      <c r="CI1064" s="25"/>
      <c r="CJ1064" s="25"/>
      <c r="CK1064" s="25"/>
      <c r="CL1064" s="25"/>
      <c r="CM1064" s="25"/>
      <c r="CN1064" s="25"/>
      <c r="CO1064" s="25"/>
      <c r="CP1064" s="25"/>
      <c r="CQ1064" s="25"/>
      <c r="CR1064" s="25"/>
      <c r="CS1064" s="25"/>
      <c r="CT1064" s="25"/>
      <c r="CU1064" s="25"/>
      <c r="CV1064" s="25"/>
      <c r="CW1064" s="25"/>
      <c r="CX1064" s="25"/>
      <c r="CY1064" s="25"/>
      <c r="CZ1064" s="25"/>
      <c r="DA1064" s="25"/>
      <c r="DB1064" s="25"/>
      <c r="DC1064" s="25"/>
      <c r="DD1064" s="25"/>
      <c r="DE1064" s="25"/>
      <c r="DF1064" s="25"/>
      <c r="DG1064" s="25"/>
      <c r="DH1064" s="25"/>
      <c r="DI1064" s="25"/>
      <c r="DJ1064" s="25"/>
      <c r="DK1064" s="25"/>
      <c r="DL1064" s="25"/>
      <c r="DM1064" s="25"/>
      <c r="DN1064" s="25"/>
      <c r="DO1064" s="25"/>
      <c r="DP1064" s="25"/>
      <c r="DQ1064" s="25"/>
      <c r="DR1064" s="25"/>
      <c r="DS1064" s="25"/>
      <c r="DT1064" s="25"/>
      <c r="DU1064" s="25"/>
      <c r="DV1064" s="25"/>
      <c r="DW1064" s="25"/>
      <c r="DX1064" s="25"/>
      <c r="DY1064" s="25"/>
      <c r="DZ1064" s="25"/>
      <c r="EA1064" s="25"/>
      <c r="EB1064" s="25"/>
      <c r="EC1064" s="25"/>
      <c r="ED1064" s="25"/>
      <c r="EE1064" s="25"/>
      <c r="EF1064" s="25"/>
      <c r="EG1064" s="25"/>
      <c r="EH1064" s="25"/>
      <c r="EI1064" s="25"/>
      <c r="EJ1064" s="25"/>
      <c r="EK1064" s="25"/>
      <c r="EL1064" s="25"/>
      <c r="EM1064" s="25"/>
      <c r="EN1064" s="25"/>
      <c r="EO1064" s="25"/>
      <c r="EP1064" s="25"/>
      <c r="EQ1064" s="25"/>
      <c r="ER1064" s="25"/>
      <c r="ES1064" s="25"/>
      <c r="ET1064" s="25"/>
      <c r="EU1064" s="25"/>
      <c r="EV1064" s="25"/>
      <c r="EW1064" s="25"/>
      <c r="EX1064" s="25"/>
      <c r="EY1064" s="25"/>
      <c r="EZ1064" s="25"/>
      <c r="FA1064" s="25"/>
      <c r="FB1064" s="25"/>
      <c r="FC1064" s="25"/>
      <c r="FD1064" s="25"/>
      <c r="FE1064" s="25"/>
      <c r="FF1064" s="25"/>
      <c r="FG1064" s="25"/>
      <c r="FH1064" s="25"/>
      <c r="FI1064" s="25"/>
      <c r="FJ1064" s="25"/>
      <c r="FK1064" s="25"/>
      <c r="FL1064" s="25"/>
      <c r="FM1064" s="25"/>
      <c r="FN1064" s="25"/>
      <c r="FO1064" s="25"/>
      <c r="FP1064" s="25"/>
      <c r="FQ1064" s="25"/>
      <c r="FR1064" s="25"/>
      <c r="FS1064" s="25"/>
      <c r="FT1064" s="25"/>
      <c r="FU1064" s="25"/>
      <c r="FV1064" s="28"/>
      <c r="FW1064" s="27"/>
      <c r="FX1064" s="27"/>
      <c r="FY1064" s="25"/>
      <c r="FZ1064" s="25"/>
      <c r="GA1064" s="25"/>
      <c r="GB1064" s="25"/>
      <c r="GC1064" s="25"/>
      <c r="GD1064" s="25"/>
      <c r="GE1064" s="25"/>
      <c r="GF1064" s="25"/>
      <c r="GG1064" s="25"/>
      <c r="GH1064" s="25"/>
      <c r="GI1064" s="25"/>
      <c r="GJ1064" s="25"/>
      <c r="GK1064" s="25"/>
      <c r="GL1064" s="25"/>
      <c r="GM1064" s="25"/>
      <c r="GN1064" s="25"/>
      <c r="GO1064" s="25"/>
      <c r="GP1064" s="25"/>
      <c r="GQ1064" s="25"/>
      <c r="GR1064" s="25"/>
      <c r="GS1064" s="25"/>
      <c r="GT1064" s="25"/>
      <c r="GU1064" s="25"/>
      <c r="GV1064" s="25"/>
      <c r="GW1064" s="25"/>
      <c r="GX1064" s="25"/>
      <c r="GY1064" s="25"/>
      <c r="GZ1064" s="25"/>
      <c r="HA1064" s="25"/>
      <c r="HB1064" s="25"/>
      <c r="HC1064" s="25"/>
      <c r="HD1064" s="25"/>
      <c r="HE1064" s="25"/>
      <c r="HF1064" s="25"/>
      <c r="HG1064" s="25"/>
      <c r="HH1064" s="25"/>
      <c r="HI1064" s="25"/>
      <c r="HJ1064" s="25"/>
      <c r="HK1064" s="25"/>
      <c r="HL1064" s="25"/>
    </row>
    <row r="1065" spans="1:220" ht="15.75" customHeight="1" x14ac:dyDescent="0.2">
      <c r="A1065" s="25"/>
      <c r="B1065" s="29"/>
      <c r="C1065" s="26"/>
      <c r="D1065" s="29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  <c r="CA1065" s="25"/>
      <c r="CB1065" s="25"/>
      <c r="CC1065" s="25"/>
      <c r="CD1065" s="25"/>
      <c r="CE1065" s="25"/>
      <c r="CF1065" s="25"/>
      <c r="CG1065" s="25"/>
      <c r="CH1065" s="25"/>
      <c r="CI1065" s="25"/>
      <c r="CJ1065" s="25"/>
      <c r="CK1065" s="25"/>
      <c r="CL1065" s="25"/>
      <c r="CM1065" s="25"/>
      <c r="CN1065" s="25"/>
      <c r="CO1065" s="25"/>
      <c r="CP1065" s="25"/>
      <c r="CQ1065" s="25"/>
      <c r="CR1065" s="25"/>
      <c r="CS1065" s="25"/>
      <c r="CT1065" s="25"/>
      <c r="CU1065" s="25"/>
      <c r="CV1065" s="25"/>
      <c r="CW1065" s="25"/>
      <c r="CX1065" s="25"/>
      <c r="CY1065" s="25"/>
      <c r="CZ1065" s="25"/>
      <c r="DA1065" s="25"/>
      <c r="DB1065" s="25"/>
      <c r="DC1065" s="25"/>
      <c r="DD1065" s="25"/>
      <c r="DE1065" s="25"/>
      <c r="DF1065" s="25"/>
      <c r="DG1065" s="25"/>
      <c r="DH1065" s="25"/>
      <c r="DI1065" s="25"/>
      <c r="DJ1065" s="25"/>
      <c r="DK1065" s="25"/>
      <c r="DL1065" s="25"/>
      <c r="DM1065" s="25"/>
      <c r="DN1065" s="25"/>
      <c r="DO1065" s="25"/>
      <c r="DP1065" s="25"/>
      <c r="DQ1065" s="25"/>
      <c r="DR1065" s="25"/>
      <c r="DS1065" s="25"/>
      <c r="DT1065" s="25"/>
      <c r="DU1065" s="25"/>
      <c r="DV1065" s="25"/>
      <c r="DW1065" s="25"/>
      <c r="DX1065" s="25"/>
      <c r="DY1065" s="25"/>
      <c r="DZ1065" s="25"/>
      <c r="EA1065" s="25"/>
      <c r="EB1065" s="25"/>
      <c r="EC1065" s="25"/>
      <c r="ED1065" s="25"/>
      <c r="EE1065" s="25"/>
      <c r="EF1065" s="25"/>
      <c r="EG1065" s="25"/>
      <c r="EH1065" s="25"/>
      <c r="EI1065" s="25"/>
      <c r="EJ1065" s="25"/>
      <c r="EK1065" s="25"/>
      <c r="EL1065" s="25"/>
      <c r="EM1065" s="25"/>
      <c r="EN1065" s="25"/>
      <c r="EO1065" s="25"/>
      <c r="EP1065" s="25"/>
      <c r="EQ1065" s="25"/>
      <c r="ER1065" s="25"/>
      <c r="ES1065" s="25"/>
      <c r="ET1065" s="25"/>
      <c r="EU1065" s="25"/>
      <c r="EV1065" s="25"/>
      <c r="EW1065" s="25"/>
      <c r="EX1065" s="25"/>
      <c r="EY1065" s="25"/>
      <c r="EZ1065" s="25"/>
      <c r="FA1065" s="25"/>
      <c r="FB1065" s="25"/>
      <c r="FC1065" s="25"/>
      <c r="FD1065" s="25"/>
      <c r="FE1065" s="25"/>
      <c r="FF1065" s="25"/>
      <c r="FG1065" s="25"/>
      <c r="FH1065" s="25"/>
      <c r="FI1065" s="25"/>
      <c r="FJ1065" s="25"/>
      <c r="FK1065" s="25"/>
      <c r="FL1065" s="25"/>
      <c r="FM1065" s="25"/>
      <c r="FN1065" s="25"/>
      <c r="FO1065" s="25"/>
      <c r="FP1065" s="25"/>
      <c r="FQ1065" s="25"/>
      <c r="FR1065" s="25"/>
      <c r="FS1065" s="25"/>
      <c r="FT1065" s="25"/>
      <c r="FU1065" s="25"/>
      <c r="FV1065" s="28"/>
      <c r="FW1065" s="27"/>
      <c r="FX1065" s="27"/>
      <c r="FY1065" s="25"/>
      <c r="FZ1065" s="25"/>
      <c r="GA1065" s="25"/>
      <c r="GB1065" s="25"/>
      <c r="GC1065" s="25"/>
      <c r="GD1065" s="25"/>
      <c r="GE1065" s="25"/>
      <c r="GF1065" s="25"/>
      <c r="GG1065" s="25"/>
      <c r="GH1065" s="25"/>
      <c r="GI1065" s="25"/>
      <c r="GJ1065" s="25"/>
      <c r="GK1065" s="25"/>
      <c r="GL1065" s="25"/>
      <c r="GM1065" s="25"/>
      <c r="GN1065" s="25"/>
      <c r="GO1065" s="25"/>
      <c r="GP1065" s="25"/>
      <c r="GQ1065" s="25"/>
      <c r="GR1065" s="25"/>
      <c r="GS1065" s="25"/>
      <c r="GT1065" s="25"/>
      <c r="GU1065" s="25"/>
      <c r="GV1065" s="25"/>
      <c r="GW1065" s="25"/>
      <c r="GX1065" s="25"/>
      <c r="GY1065" s="25"/>
      <c r="GZ1065" s="25"/>
      <c r="HA1065" s="25"/>
      <c r="HB1065" s="25"/>
      <c r="HC1065" s="25"/>
      <c r="HD1065" s="25"/>
      <c r="HE1065" s="25"/>
      <c r="HF1065" s="25"/>
      <c r="HG1065" s="25"/>
      <c r="HH1065" s="25"/>
      <c r="HI1065" s="25"/>
      <c r="HJ1065" s="25"/>
      <c r="HK1065" s="25"/>
      <c r="HL1065" s="25"/>
    </row>
    <row r="1066" spans="1:220" ht="15.75" customHeight="1" x14ac:dyDescent="0.2">
      <c r="A1066" s="25"/>
      <c r="B1066" s="29"/>
      <c r="C1066" s="26"/>
      <c r="D1066" s="29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  <c r="CA1066" s="25"/>
      <c r="CB1066" s="25"/>
      <c r="CC1066" s="25"/>
      <c r="CD1066" s="25"/>
      <c r="CE1066" s="25"/>
      <c r="CF1066" s="25"/>
      <c r="CG1066" s="25"/>
      <c r="CH1066" s="25"/>
      <c r="CI1066" s="25"/>
      <c r="CJ1066" s="25"/>
      <c r="CK1066" s="25"/>
      <c r="CL1066" s="25"/>
      <c r="CM1066" s="25"/>
      <c r="CN1066" s="25"/>
      <c r="CO1066" s="25"/>
      <c r="CP1066" s="25"/>
      <c r="CQ1066" s="25"/>
      <c r="CR1066" s="25"/>
      <c r="CS1066" s="25"/>
      <c r="CT1066" s="25"/>
      <c r="CU1066" s="25"/>
      <c r="CV1066" s="25"/>
      <c r="CW1066" s="25"/>
      <c r="CX1066" s="25"/>
      <c r="CY1066" s="25"/>
      <c r="CZ1066" s="25"/>
      <c r="DA1066" s="25"/>
      <c r="DB1066" s="25"/>
      <c r="DC1066" s="25"/>
      <c r="DD1066" s="25"/>
      <c r="DE1066" s="25"/>
      <c r="DF1066" s="25"/>
      <c r="DG1066" s="25"/>
      <c r="DH1066" s="25"/>
      <c r="DI1066" s="25"/>
      <c r="DJ1066" s="25"/>
      <c r="DK1066" s="25"/>
      <c r="DL1066" s="25"/>
      <c r="DM1066" s="25"/>
      <c r="DN1066" s="25"/>
      <c r="DO1066" s="25"/>
      <c r="DP1066" s="25"/>
      <c r="DQ1066" s="25"/>
      <c r="DR1066" s="25"/>
      <c r="DS1066" s="25"/>
      <c r="DT1066" s="25"/>
      <c r="DU1066" s="25"/>
      <c r="DV1066" s="25"/>
      <c r="DW1066" s="25"/>
      <c r="DX1066" s="25"/>
      <c r="DY1066" s="25"/>
      <c r="DZ1066" s="25"/>
      <c r="EA1066" s="25"/>
      <c r="EB1066" s="25"/>
      <c r="EC1066" s="25"/>
      <c r="ED1066" s="25"/>
      <c r="EE1066" s="25"/>
      <c r="EF1066" s="25"/>
      <c r="EG1066" s="25"/>
      <c r="EH1066" s="25"/>
      <c r="EI1066" s="25"/>
      <c r="EJ1066" s="25"/>
      <c r="EK1066" s="25"/>
      <c r="EL1066" s="25"/>
      <c r="EM1066" s="25"/>
      <c r="EN1066" s="25"/>
      <c r="EO1066" s="25"/>
      <c r="EP1066" s="25"/>
      <c r="EQ1066" s="25"/>
      <c r="ER1066" s="25"/>
      <c r="ES1066" s="25"/>
      <c r="ET1066" s="25"/>
      <c r="EU1066" s="25"/>
      <c r="EV1066" s="25"/>
      <c r="EW1066" s="25"/>
      <c r="EX1066" s="25"/>
      <c r="EY1066" s="25"/>
      <c r="EZ1066" s="25"/>
      <c r="FA1066" s="25"/>
      <c r="FB1066" s="25"/>
      <c r="FC1066" s="25"/>
      <c r="FD1066" s="25"/>
      <c r="FE1066" s="25"/>
      <c r="FF1066" s="25"/>
      <c r="FG1066" s="25"/>
      <c r="FH1066" s="25"/>
      <c r="FI1066" s="25"/>
      <c r="FJ1066" s="25"/>
      <c r="FK1066" s="25"/>
      <c r="FL1066" s="25"/>
      <c r="FM1066" s="25"/>
      <c r="FN1066" s="25"/>
      <c r="FO1066" s="25"/>
      <c r="FP1066" s="25"/>
      <c r="FQ1066" s="25"/>
      <c r="FR1066" s="25"/>
      <c r="FS1066" s="25"/>
      <c r="FT1066" s="25"/>
      <c r="FU1066" s="25"/>
      <c r="FV1066" s="28"/>
      <c r="FW1066" s="27"/>
      <c r="FX1066" s="27"/>
      <c r="FY1066" s="25"/>
      <c r="FZ1066" s="25"/>
      <c r="GA1066" s="25"/>
      <c r="GB1066" s="25"/>
      <c r="GC1066" s="25"/>
      <c r="GD1066" s="25"/>
      <c r="GE1066" s="25"/>
      <c r="GF1066" s="25"/>
      <c r="GG1066" s="25"/>
      <c r="GH1066" s="25"/>
      <c r="GI1066" s="25"/>
      <c r="GJ1066" s="25"/>
      <c r="GK1066" s="25"/>
      <c r="GL1066" s="25"/>
      <c r="GM1066" s="25"/>
      <c r="GN1066" s="25"/>
      <c r="GO1066" s="25"/>
      <c r="GP1066" s="25"/>
      <c r="GQ1066" s="25"/>
      <c r="GR1066" s="25"/>
      <c r="GS1066" s="25"/>
      <c r="GT1066" s="25"/>
      <c r="GU1066" s="25"/>
      <c r="GV1066" s="25"/>
      <c r="GW1066" s="25"/>
      <c r="GX1066" s="25"/>
      <c r="GY1066" s="25"/>
      <c r="GZ1066" s="25"/>
      <c r="HA1066" s="25"/>
      <c r="HB1066" s="25"/>
      <c r="HC1066" s="25"/>
      <c r="HD1066" s="25"/>
      <c r="HE1066" s="25"/>
      <c r="HF1066" s="25"/>
      <c r="HG1066" s="25"/>
      <c r="HH1066" s="25"/>
      <c r="HI1066" s="25"/>
      <c r="HJ1066" s="25"/>
      <c r="HK1066" s="25"/>
      <c r="HL1066" s="25"/>
    </row>
    <row r="1067" spans="1:220" ht="15.75" customHeight="1" x14ac:dyDescent="0.2">
      <c r="A1067" s="25"/>
      <c r="B1067" s="29"/>
      <c r="C1067" s="26"/>
      <c r="D1067" s="29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  <c r="BN1067" s="25"/>
      <c r="BO1067" s="25"/>
      <c r="BP1067" s="25"/>
      <c r="BQ1067" s="25"/>
      <c r="BR1067" s="25"/>
      <c r="BS1067" s="25"/>
      <c r="BT1067" s="25"/>
      <c r="BU1067" s="25"/>
      <c r="BV1067" s="25"/>
      <c r="BW1067" s="25"/>
      <c r="BX1067" s="25"/>
      <c r="BY1067" s="25"/>
      <c r="BZ1067" s="25"/>
      <c r="CA1067" s="25"/>
      <c r="CB1067" s="25"/>
      <c r="CC1067" s="25"/>
      <c r="CD1067" s="25"/>
      <c r="CE1067" s="25"/>
      <c r="CF1067" s="25"/>
      <c r="CG1067" s="25"/>
      <c r="CH1067" s="25"/>
      <c r="CI1067" s="25"/>
      <c r="CJ1067" s="25"/>
      <c r="CK1067" s="25"/>
      <c r="CL1067" s="25"/>
      <c r="CM1067" s="25"/>
      <c r="CN1067" s="25"/>
      <c r="CO1067" s="25"/>
      <c r="CP1067" s="25"/>
      <c r="CQ1067" s="25"/>
      <c r="CR1067" s="25"/>
      <c r="CS1067" s="25"/>
      <c r="CT1067" s="25"/>
      <c r="CU1067" s="25"/>
      <c r="CV1067" s="25"/>
      <c r="CW1067" s="25"/>
      <c r="CX1067" s="25"/>
      <c r="CY1067" s="25"/>
      <c r="CZ1067" s="25"/>
      <c r="DA1067" s="25"/>
      <c r="DB1067" s="25"/>
      <c r="DC1067" s="25"/>
      <c r="DD1067" s="25"/>
      <c r="DE1067" s="25"/>
      <c r="DF1067" s="25"/>
      <c r="DG1067" s="25"/>
      <c r="DH1067" s="25"/>
      <c r="DI1067" s="25"/>
      <c r="DJ1067" s="25"/>
      <c r="DK1067" s="25"/>
      <c r="DL1067" s="25"/>
      <c r="DM1067" s="25"/>
      <c r="DN1067" s="25"/>
      <c r="DO1067" s="25"/>
      <c r="DP1067" s="25"/>
      <c r="DQ1067" s="25"/>
      <c r="DR1067" s="25"/>
      <c r="DS1067" s="25"/>
      <c r="DT1067" s="25"/>
      <c r="DU1067" s="25"/>
      <c r="DV1067" s="25"/>
      <c r="DW1067" s="25"/>
      <c r="DX1067" s="25"/>
      <c r="DY1067" s="25"/>
      <c r="DZ1067" s="25"/>
      <c r="EA1067" s="25"/>
      <c r="EB1067" s="25"/>
      <c r="EC1067" s="25"/>
      <c r="ED1067" s="25"/>
      <c r="EE1067" s="25"/>
      <c r="EF1067" s="25"/>
      <c r="EG1067" s="25"/>
      <c r="EH1067" s="25"/>
      <c r="EI1067" s="25"/>
      <c r="EJ1067" s="25"/>
      <c r="EK1067" s="25"/>
      <c r="EL1067" s="25"/>
      <c r="EM1067" s="25"/>
      <c r="EN1067" s="25"/>
      <c r="EO1067" s="25"/>
      <c r="EP1067" s="25"/>
      <c r="EQ1067" s="25"/>
      <c r="ER1067" s="25"/>
      <c r="ES1067" s="25"/>
      <c r="ET1067" s="25"/>
      <c r="EU1067" s="25"/>
      <c r="EV1067" s="25"/>
      <c r="EW1067" s="25"/>
      <c r="EX1067" s="25"/>
      <c r="EY1067" s="25"/>
      <c r="EZ1067" s="25"/>
      <c r="FA1067" s="25"/>
      <c r="FB1067" s="25"/>
      <c r="FC1067" s="25"/>
      <c r="FD1067" s="25"/>
      <c r="FE1067" s="25"/>
      <c r="FF1067" s="25"/>
      <c r="FG1067" s="25"/>
      <c r="FH1067" s="25"/>
      <c r="FI1067" s="25"/>
      <c r="FJ1067" s="25"/>
      <c r="FK1067" s="25"/>
      <c r="FL1067" s="25"/>
      <c r="FM1067" s="25"/>
      <c r="FN1067" s="25"/>
      <c r="FO1067" s="25"/>
      <c r="FP1067" s="25"/>
      <c r="FQ1067" s="25"/>
      <c r="FR1067" s="25"/>
      <c r="FS1067" s="25"/>
      <c r="FT1067" s="25"/>
      <c r="FU1067" s="25"/>
      <c r="FV1067" s="28"/>
      <c r="FW1067" s="27"/>
      <c r="FX1067" s="27"/>
      <c r="FY1067" s="25"/>
      <c r="FZ1067" s="25"/>
      <c r="GA1067" s="25"/>
      <c r="GB1067" s="25"/>
      <c r="GC1067" s="25"/>
      <c r="GD1067" s="25"/>
      <c r="GE1067" s="25"/>
      <c r="GF1067" s="25"/>
      <c r="GG1067" s="25"/>
      <c r="GH1067" s="25"/>
      <c r="GI1067" s="25"/>
      <c r="GJ1067" s="25"/>
      <c r="GK1067" s="25"/>
      <c r="GL1067" s="25"/>
      <c r="GM1067" s="25"/>
      <c r="GN1067" s="25"/>
      <c r="GO1067" s="25"/>
      <c r="GP1067" s="25"/>
      <c r="GQ1067" s="25"/>
      <c r="GR1067" s="25"/>
      <c r="GS1067" s="25"/>
      <c r="GT1067" s="25"/>
      <c r="GU1067" s="25"/>
      <c r="GV1067" s="25"/>
      <c r="GW1067" s="25"/>
      <c r="GX1067" s="25"/>
      <c r="GY1067" s="25"/>
      <c r="GZ1067" s="25"/>
      <c r="HA1067" s="25"/>
      <c r="HB1067" s="25"/>
      <c r="HC1067" s="25"/>
      <c r="HD1067" s="25"/>
      <c r="HE1067" s="25"/>
      <c r="HF1067" s="25"/>
      <c r="HG1067" s="25"/>
      <c r="HH1067" s="25"/>
      <c r="HI1067" s="25"/>
      <c r="HJ1067" s="25"/>
      <c r="HK1067" s="25"/>
      <c r="HL1067" s="25"/>
    </row>
    <row r="1068" spans="1:220" ht="15.75" customHeight="1" x14ac:dyDescent="0.2">
      <c r="A1068" s="25"/>
      <c r="B1068" s="29"/>
      <c r="C1068" s="26"/>
      <c r="D1068" s="29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  <c r="BN1068" s="25"/>
      <c r="BO1068" s="25"/>
      <c r="BP1068" s="25"/>
      <c r="BQ1068" s="25"/>
      <c r="BR1068" s="25"/>
      <c r="BS1068" s="25"/>
      <c r="BT1068" s="25"/>
      <c r="BU1068" s="25"/>
      <c r="BV1068" s="25"/>
      <c r="BW1068" s="25"/>
      <c r="BX1068" s="25"/>
      <c r="BY1068" s="25"/>
      <c r="BZ1068" s="25"/>
      <c r="CA1068" s="25"/>
      <c r="CB1068" s="25"/>
      <c r="CC1068" s="25"/>
      <c r="CD1068" s="25"/>
      <c r="CE1068" s="25"/>
      <c r="CF1068" s="25"/>
      <c r="CG1068" s="25"/>
      <c r="CH1068" s="25"/>
      <c r="CI1068" s="25"/>
      <c r="CJ1068" s="25"/>
      <c r="CK1068" s="25"/>
      <c r="CL1068" s="25"/>
      <c r="CM1068" s="25"/>
      <c r="CN1068" s="25"/>
      <c r="CO1068" s="25"/>
      <c r="CP1068" s="25"/>
      <c r="CQ1068" s="25"/>
      <c r="CR1068" s="25"/>
      <c r="CS1068" s="25"/>
      <c r="CT1068" s="25"/>
      <c r="CU1068" s="25"/>
      <c r="CV1068" s="25"/>
      <c r="CW1068" s="25"/>
      <c r="CX1068" s="25"/>
      <c r="CY1068" s="25"/>
      <c r="CZ1068" s="25"/>
      <c r="DA1068" s="25"/>
      <c r="DB1068" s="25"/>
      <c r="DC1068" s="25"/>
      <c r="DD1068" s="25"/>
      <c r="DE1068" s="25"/>
      <c r="DF1068" s="25"/>
      <c r="DG1068" s="25"/>
      <c r="DH1068" s="25"/>
      <c r="DI1068" s="25"/>
      <c r="DJ1068" s="25"/>
      <c r="DK1068" s="25"/>
      <c r="DL1068" s="25"/>
      <c r="DM1068" s="25"/>
      <c r="DN1068" s="25"/>
      <c r="DO1068" s="25"/>
      <c r="DP1068" s="25"/>
      <c r="DQ1068" s="25"/>
      <c r="DR1068" s="25"/>
      <c r="DS1068" s="25"/>
      <c r="DT1068" s="25"/>
      <c r="DU1068" s="25"/>
      <c r="DV1068" s="25"/>
      <c r="DW1068" s="25"/>
      <c r="DX1068" s="25"/>
      <c r="DY1068" s="25"/>
      <c r="DZ1068" s="25"/>
      <c r="EA1068" s="25"/>
      <c r="EB1068" s="25"/>
      <c r="EC1068" s="25"/>
      <c r="ED1068" s="25"/>
      <c r="EE1068" s="25"/>
      <c r="EF1068" s="25"/>
      <c r="EG1068" s="25"/>
      <c r="EH1068" s="25"/>
      <c r="EI1068" s="25"/>
      <c r="EJ1068" s="25"/>
      <c r="EK1068" s="25"/>
      <c r="EL1068" s="25"/>
      <c r="EM1068" s="25"/>
      <c r="EN1068" s="25"/>
      <c r="EO1068" s="25"/>
      <c r="EP1068" s="25"/>
      <c r="EQ1068" s="25"/>
      <c r="ER1068" s="25"/>
      <c r="ES1068" s="25"/>
      <c r="ET1068" s="25"/>
      <c r="EU1068" s="25"/>
      <c r="EV1068" s="25"/>
      <c r="EW1068" s="25"/>
      <c r="EX1068" s="25"/>
      <c r="EY1068" s="25"/>
      <c r="EZ1068" s="25"/>
      <c r="FA1068" s="25"/>
      <c r="FB1068" s="25"/>
      <c r="FC1068" s="25"/>
      <c r="FD1068" s="25"/>
      <c r="FE1068" s="25"/>
      <c r="FF1068" s="25"/>
      <c r="FG1068" s="25"/>
      <c r="FH1068" s="25"/>
      <c r="FI1068" s="25"/>
      <c r="FJ1068" s="25"/>
      <c r="FK1068" s="25"/>
      <c r="FL1068" s="25"/>
      <c r="FM1068" s="25"/>
      <c r="FN1068" s="25"/>
      <c r="FO1068" s="25"/>
      <c r="FP1068" s="25"/>
      <c r="FQ1068" s="25"/>
      <c r="FR1068" s="25"/>
      <c r="FS1068" s="25"/>
      <c r="FT1068" s="25"/>
      <c r="FU1068" s="25"/>
      <c r="FV1068" s="28"/>
      <c r="FW1068" s="27"/>
      <c r="FX1068" s="27"/>
      <c r="FY1068" s="25"/>
      <c r="FZ1068" s="25"/>
      <c r="GA1068" s="25"/>
      <c r="GB1068" s="25"/>
      <c r="GC1068" s="25"/>
      <c r="GD1068" s="25"/>
      <c r="GE1068" s="25"/>
      <c r="GF1068" s="25"/>
      <c r="GG1068" s="25"/>
      <c r="GH1068" s="25"/>
      <c r="GI1068" s="25"/>
      <c r="GJ1068" s="25"/>
      <c r="GK1068" s="25"/>
      <c r="GL1068" s="25"/>
      <c r="GM1068" s="25"/>
      <c r="GN1068" s="25"/>
      <c r="GO1068" s="25"/>
      <c r="GP1068" s="25"/>
      <c r="GQ1068" s="25"/>
      <c r="GR1068" s="25"/>
      <c r="GS1068" s="25"/>
      <c r="GT1068" s="25"/>
      <c r="GU1068" s="25"/>
      <c r="GV1068" s="25"/>
      <c r="GW1068" s="25"/>
      <c r="GX1068" s="25"/>
      <c r="GY1068" s="25"/>
      <c r="GZ1068" s="25"/>
      <c r="HA1068" s="25"/>
      <c r="HB1068" s="25"/>
      <c r="HC1068" s="25"/>
      <c r="HD1068" s="25"/>
      <c r="HE1068" s="25"/>
      <c r="HF1068" s="25"/>
      <c r="HG1068" s="25"/>
      <c r="HH1068" s="25"/>
      <c r="HI1068" s="25"/>
      <c r="HJ1068" s="25"/>
      <c r="HK1068" s="25"/>
      <c r="HL1068" s="25"/>
    </row>
    <row r="1069" spans="1:220" ht="15.75" customHeight="1" x14ac:dyDescent="0.2">
      <c r="A1069" s="25"/>
      <c r="B1069" s="29"/>
      <c r="C1069" s="26"/>
      <c r="D1069" s="29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  <c r="BH1069" s="25"/>
      <c r="BI1069" s="25"/>
      <c r="BJ1069" s="25"/>
      <c r="BK1069" s="25"/>
      <c r="BL1069" s="25"/>
      <c r="BM1069" s="25"/>
      <c r="BN1069" s="25"/>
      <c r="BO1069" s="25"/>
      <c r="BP1069" s="25"/>
      <c r="BQ1069" s="25"/>
      <c r="BR1069" s="25"/>
      <c r="BS1069" s="25"/>
      <c r="BT1069" s="25"/>
      <c r="BU1069" s="25"/>
      <c r="BV1069" s="25"/>
      <c r="BW1069" s="25"/>
      <c r="BX1069" s="25"/>
      <c r="BY1069" s="25"/>
      <c r="BZ1069" s="25"/>
      <c r="CA1069" s="25"/>
      <c r="CB1069" s="25"/>
      <c r="CC1069" s="25"/>
      <c r="CD1069" s="25"/>
      <c r="CE1069" s="25"/>
      <c r="CF1069" s="25"/>
      <c r="CG1069" s="25"/>
      <c r="CH1069" s="25"/>
      <c r="CI1069" s="25"/>
      <c r="CJ1069" s="25"/>
      <c r="CK1069" s="25"/>
      <c r="CL1069" s="25"/>
      <c r="CM1069" s="25"/>
      <c r="CN1069" s="25"/>
      <c r="CO1069" s="25"/>
      <c r="CP1069" s="25"/>
      <c r="CQ1069" s="25"/>
      <c r="CR1069" s="25"/>
      <c r="CS1069" s="25"/>
      <c r="CT1069" s="25"/>
      <c r="CU1069" s="25"/>
      <c r="CV1069" s="25"/>
      <c r="CW1069" s="25"/>
      <c r="CX1069" s="25"/>
      <c r="CY1069" s="25"/>
      <c r="CZ1069" s="25"/>
      <c r="DA1069" s="25"/>
      <c r="DB1069" s="25"/>
      <c r="DC1069" s="25"/>
      <c r="DD1069" s="25"/>
      <c r="DE1069" s="25"/>
      <c r="DF1069" s="25"/>
      <c r="DG1069" s="25"/>
      <c r="DH1069" s="25"/>
      <c r="DI1069" s="25"/>
      <c r="DJ1069" s="25"/>
      <c r="DK1069" s="25"/>
      <c r="DL1069" s="25"/>
      <c r="DM1069" s="25"/>
      <c r="DN1069" s="25"/>
      <c r="DO1069" s="25"/>
      <c r="DP1069" s="25"/>
      <c r="DQ1069" s="25"/>
      <c r="DR1069" s="25"/>
      <c r="DS1069" s="25"/>
      <c r="DT1069" s="25"/>
      <c r="DU1069" s="25"/>
      <c r="DV1069" s="25"/>
      <c r="DW1069" s="25"/>
      <c r="DX1069" s="25"/>
      <c r="DY1069" s="25"/>
      <c r="DZ1069" s="25"/>
      <c r="EA1069" s="25"/>
      <c r="EB1069" s="25"/>
      <c r="EC1069" s="25"/>
      <c r="ED1069" s="25"/>
      <c r="EE1069" s="25"/>
      <c r="EF1069" s="25"/>
      <c r="EG1069" s="25"/>
      <c r="EH1069" s="25"/>
      <c r="EI1069" s="25"/>
      <c r="EJ1069" s="25"/>
      <c r="EK1069" s="25"/>
      <c r="EL1069" s="25"/>
      <c r="EM1069" s="25"/>
      <c r="EN1069" s="25"/>
      <c r="EO1069" s="25"/>
      <c r="EP1069" s="25"/>
      <c r="EQ1069" s="25"/>
      <c r="ER1069" s="25"/>
      <c r="ES1069" s="25"/>
      <c r="ET1069" s="25"/>
      <c r="EU1069" s="25"/>
      <c r="EV1069" s="25"/>
      <c r="EW1069" s="25"/>
      <c r="EX1069" s="25"/>
      <c r="EY1069" s="25"/>
      <c r="EZ1069" s="25"/>
      <c r="FA1069" s="25"/>
      <c r="FB1069" s="25"/>
      <c r="FC1069" s="25"/>
      <c r="FD1069" s="25"/>
      <c r="FE1069" s="25"/>
      <c r="FF1069" s="25"/>
      <c r="FG1069" s="25"/>
      <c r="FH1069" s="25"/>
      <c r="FI1069" s="25"/>
      <c r="FJ1069" s="25"/>
      <c r="FK1069" s="25"/>
      <c r="FL1069" s="25"/>
      <c r="FM1069" s="25"/>
      <c r="FN1069" s="25"/>
      <c r="FO1069" s="25"/>
      <c r="FP1069" s="25"/>
      <c r="FQ1069" s="25"/>
      <c r="FR1069" s="25"/>
      <c r="FS1069" s="25"/>
      <c r="FT1069" s="25"/>
      <c r="FU1069" s="25"/>
      <c r="FV1069" s="28"/>
      <c r="FW1069" s="27"/>
      <c r="FX1069" s="27"/>
      <c r="FY1069" s="25"/>
      <c r="FZ1069" s="25"/>
      <c r="GA1069" s="25"/>
      <c r="GB1069" s="25"/>
      <c r="GC1069" s="25"/>
      <c r="GD1069" s="25"/>
      <c r="GE1069" s="25"/>
      <c r="GF1069" s="25"/>
      <c r="GG1069" s="25"/>
      <c r="GH1069" s="25"/>
      <c r="GI1069" s="25"/>
      <c r="GJ1069" s="25"/>
      <c r="GK1069" s="25"/>
      <c r="GL1069" s="25"/>
      <c r="GM1069" s="25"/>
      <c r="GN1069" s="25"/>
      <c r="GO1069" s="25"/>
      <c r="GP1069" s="25"/>
      <c r="GQ1069" s="25"/>
      <c r="GR1069" s="25"/>
      <c r="GS1069" s="25"/>
      <c r="GT1069" s="25"/>
      <c r="GU1069" s="25"/>
      <c r="GV1069" s="25"/>
      <c r="GW1069" s="25"/>
      <c r="GX1069" s="25"/>
      <c r="GY1069" s="25"/>
      <c r="GZ1069" s="25"/>
      <c r="HA1069" s="25"/>
      <c r="HB1069" s="25"/>
      <c r="HC1069" s="25"/>
      <c r="HD1069" s="25"/>
      <c r="HE1069" s="25"/>
      <c r="HF1069" s="25"/>
      <c r="HG1069" s="25"/>
      <c r="HH1069" s="25"/>
      <c r="HI1069" s="25"/>
      <c r="HJ1069" s="25"/>
      <c r="HK1069" s="25"/>
      <c r="HL1069" s="25"/>
    </row>
    <row r="1070" spans="1:220" ht="15.75" customHeight="1" x14ac:dyDescent="0.2">
      <c r="A1070" s="25"/>
      <c r="B1070" s="29"/>
      <c r="C1070" s="26"/>
      <c r="D1070" s="29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  <c r="BH1070" s="25"/>
      <c r="BI1070" s="25"/>
      <c r="BJ1070" s="25"/>
      <c r="BK1070" s="25"/>
      <c r="BL1070" s="25"/>
      <c r="BM1070" s="25"/>
      <c r="BN1070" s="25"/>
      <c r="BO1070" s="25"/>
      <c r="BP1070" s="25"/>
      <c r="BQ1070" s="25"/>
      <c r="BR1070" s="25"/>
      <c r="BS1070" s="25"/>
      <c r="BT1070" s="25"/>
      <c r="BU1070" s="25"/>
      <c r="BV1070" s="25"/>
      <c r="BW1070" s="25"/>
      <c r="BX1070" s="25"/>
      <c r="BY1070" s="25"/>
      <c r="BZ1070" s="25"/>
      <c r="CA1070" s="25"/>
      <c r="CB1070" s="25"/>
      <c r="CC1070" s="25"/>
      <c r="CD1070" s="25"/>
      <c r="CE1070" s="25"/>
      <c r="CF1070" s="25"/>
      <c r="CG1070" s="25"/>
      <c r="CH1070" s="25"/>
      <c r="CI1070" s="25"/>
      <c r="CJ1070" s="25"/>
      <c r="CK1070" s="25"/>
      <c r="CL1070" s="25"/>
      <c r="CM1070" s="25"/>
      <c r="CN1070" s="25"/>
      <c r="CO1070" s="25"/>
      <c r="CP1070" s="25"/>
      <c r="CQ1070" s="25"/>
      <c r="CR1070" s="25"/>
      <c r="CS1070" s="25"/>
      <c r="CT1070" s="25"/>
      <c r="CU1070" s="25"/>
      <c r="CV1070" s="25"/>
      <c r="CW1070" s="25"/>
      <c r="CX1070" s="25"/>
      <c r="CY1070" s="25"/>
      <c r="CZ1070" s="25"/>
      <c r="DA1070" s="25"/>
      <c r="DB1070" s="25"/>
      <c r="DC1070" s="25"/>
      <c r="DD1070" s="25"/>
      <c r="DE1070" s="25"/>
      <c r="DF1070" s="25"/>
      <c r="DG1070" s="25"/>
      <c r="DH1070" s="25"/>
      <c r="DI1070" s="25"/>
      <c r="DJ1070" s="25"/>
      <c r="DK1070" s="25"/>
      <c r="DL1070" s="25"/>
      <c r="DM1070" s="25"/>
      <c r="DN1070" s="25"/>
      <c r="DO1070" s="25"/>
      <c r="DP1070" s="25"/>
      <c r="DQ1070" s="25"/>
      <c r="DR1070" s="25"/>
      <c r="DS1070" s="25"/>
      <c r="DT1070" s="25"/>
      <c r="DU1070" s="25"/>
      <c r="DV1070" s="25"/>
      <c r="DW1070" s="25"/>
      <c r="DX1070" s="25"/>
      <c r="DY1070" s="25"/>
      <c r="DZ1070" s="25"/>
      <c r="EA1070" s="25"/>
      <c r="EB1070" s="25"/>
      <c r="EC1070" s="25"/>
      <c r="ED1070" s="25"/>
      <c r="EE1070" s="25"/>
      <c r="EF1070" s="25"/>
      <c r="EG1070" s="25"/>
      <c r="EH1070" s="25"/>
      <c r="EI1070" s="25"/>
      <c r="EJ1070" s="25"/>
      <c r="EK1070" s="25"/>
      <c r="EL1070" s="25"/>
      <c r="EM1070" s="25"/>
      <c r="EN1070" s="25"/>
      <c r="EO1070" s="25"/>
      <c r="EP1070" s="25"/>
      <c r="EQ1070" s="25"/>
      <c r="ER1070" s="25"/>
      <c r="ES1070" s="25"/>
      <c r="ET1070" s="25"/>
      <c r="EU1070" s="25"/>
      <c r="EV1070" s="25"/>
      <c r="EW1070" s="25"/>
      <c r="EX1070" s="25"/>
      <c r="EY1070" s="25"/>
      <c r="EZ1070" s="25"/>
      <c r="FA1070" s="25"/>
      <c r="FB1070" s="25"/>
      <c r="FC1070" s="25"/>
      <c r="FD1070" s="25"/>
      <c r="FE1070" s="25"/>
      <c r="FF1070" s="25"/>
      <c r="FG1070" s="25"/>
      <c r="FH1070" s="25"/>
      <c r="FI1070" s="25"/>
      <c r="FJ1070" s="25"/>
      <c r="FK1070" s="25"/>
      <c r="FL1070" s="25"/>
      <c r="FM1070" s="25"/>
      <c r="FN1070" s="25"/>
      <c r="FO1070" s="25"/>
      <c r="FP1070" s="25"/>
      <c r="FQ1070" s="25"/>
      <c r="FR1070" s="25"/>
      <c r="FS1070" s="25"/>
      <c r="FT1070" s="25"/>
      <c r="FU1070" s="25"/>
      <c r="FV1070" s="28"/>
      <c r="FW1070" s="27"/>
      <c r="FX1070" s="27"/>
      <c r="FY1070" s="25"/>
      <c r="FZ1070" s="25"/>
      <c r="GA1070" s="25"/>
      <c r="GB1070" s="25"/>
      <c r="GC1070" s="25"/>
      <c r="GD1070" s="25"/>
      <c r="GE1070" s="25"/>
      <c r="GF1070" s="25"/>
      <c r="GG1070" s="25"/>
      <c r="GH1070" s="25"/>
      <c r="GI1070" s="25"/>
      <c r="GJ1070" s="25"/>
      <c r="GK1070" s="25"/>
      <c r="GL1070" s="25"/>
      <c r="GM1070" s="25"/>
      <c r="GN1070" s="25"/>
      <c r="GO1070" s="25"/>
      <c r="GP1070" s="25"/>
      <c r="GQ1070" s="25"/>
      <c r="GR1070" s="25"/>
      <c r="GS1070" s="25"/>
      <c r="GT1070" s="25"/>
      <c r="GU1070" s="25"/>
      <c r="GV1070" s="25"/>
      <c r="GW1070" s="25"/>
      <c r="GX1070" s="25"/>
      <c r="GY1070" s="25"/>
      <c r="GZ1070" s="25"/>
      <c r="HA1070" s="25"/>
      <c r="HB1070" s="25"/>
      <c r="HC1070" s="25"/>
      <c r="HD1070" s="25"/>
      <c r="HE1070" s="25"/>
      <c r="HF1070" s="25"/>
      <c r="HG1070" s="25"/>
      <c r="HH1070" s="25"/>
      <c r="HI1070" s="25"/>
      <c r="HJ1070" s="25"/>
      <c r="HK1070" s="25"/>
      <c r="HL1070" s="25"/>
    </row>
    <row r="1071" spans="1:220" ht="15.75" customHeight="1" x14ac:dyDescent="0.2">
      <c r="A1071" s="25"/>
      <c r="B1071" s="29"/>
      <c r="C1071" s="26"/>
      <c r="D1071" s="29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  <c r="BH1071" s="25"/>
      <c r="BI1071" s="25"/>
      <c r="BJ1071" s="25"/>
      <c r="BK1071" s="25"/>
      <c r="BL1071" s="25"/>
      <c r="BM1071" s="25"/>
      <c r="BN1071" s="25"/>
      <c r="BO1071" s="25"/>
      <c r="BP1071" s="25"/>
      <c r="BQ1071" s="25"/>
      <c r="BR1071" s="25"/>
      <c r="BS1071" s="25"/>
      <c r="BT1071" s="25"/>
      <c r="BU1071" s="25"/>
      <c r="BV1071" s="25"/>
      <c r="BW1071" s="25"/>
      <c r="BX1071" s="25"/>
      <c r="BY1071" s="25"/>
      <c r="BZ1071" s="25"/>
      <c r="CA1071" s="25"/>
      <c r="CB1071" s="25"/>
      <c r="CC1071" s="25"/>
      <c r="CD1071" s="25"/>
      <c r="CE1071" s="25"/>
      <c r="CF1071" s="25"/>
      <c r="CG1071" s="25"/>
      <c r="CH1071" s="25"/>
      <c r="CI1071" s="25"/>
      <c r="CJ1071" s="25"/>
      <c r="CK1071" s="25"/>
      <c r="CL1071" s="25"/>
      <c r="CM1071" s="25"/>
      <c r="CN1071" s="25"/>
      <c r="CO1071" s="25"/>
      <c r="CP1071" s="25"/>
      <c r="CQ1071" s="25"/>
      <c r="CR1071" s="25"/>
      <c r="CS1071" s="25"/>
      <c r="CT1071" s="25"/>
      <c r="CU1071" s="25"/>
      <c r="CV1071" s="25"/>
      <c r="CW1071" s="25"/>
      <c r="CX1071" s="25"/>
      <c r="CY1071" s="25"/>
      <c r="CZ1071" s="25"/>
      <c r="DA1071" s="25"/>
      <c r="DB1071" s="25"/>
      <c r="DC1071" s="25"/>
      <c r="DD1071" s="25"/>
      <c r="DE1071" s="25"/>
      <c r="DF1071" s="25"/>
      <c r="DG1071" s="25"/>
      <c r="DH1071" s="25"/>
      <c r="DI1071" s="25"/>
      <c r="DJ1071" s="25"/>
      <c r="DK1071" s="25"/>
      <c r="DL1071" s="25"/>
      <c r="DM1071" s="25"/>
      <c r="DN1071" s="25"/>
      <c r="DO1071" s="25"/>
      <c r="DP1071" s="25"/>
      <c r="DQ1071" s="25"/>
      <c r="DR1071" s="25"/>
      <c r="DS1071" s="25"/>
      <c r="DT1071" s="25"/>
      <c r="DU1071" s="25"/>
      <c r="DV1071" s="25"/>
      <c r="DW1071" s="25"/>
      <c r="DX1071" s="25"/>
      <c r="DY1071" s="25"/>
      <c r="DZ1071" s="25"/>
      <c r="EA1071" s="25"/>
      <c r="EB1071" s="25"/>
      <c r="EC1071" s="25"/>
      <c r="ED1071" s="25"/>
      <c r="EE1071" s="25"/>
      <c r="EF1071" s="25"/>
      <c r="EG1071" s="25"/>
      <c r="EH1071" s="25"/>
      <c r="EI1071" s="25"/>
      <c r="EJ1071" s="25"/>
      <c r="EK1071" s="25"/>
      <c r="EL1071" s="25"/>
      <c r="EM1071" s="25"/>
      <c r="EN1071" s="25"/>
      <c r="EO1071" s="25"/>
      <c r="EP1071" s="25"/>
      <c r="EQ1071" s="25"/>
      <c r="ER1071" s="25"/>
      <c r="ES1071" s="25"/>
      <c r="ET1071" s="25"/>
      <c r="EU1071" s="25"/>
      <c r="EV1071" s="25"/>
      <c r="EW1071" s="25"/>
      <c r="EX1071" s="25"/>
      <c r="EY1071" s="25"/>
      <c r="EZ1071" s="25"/>
      <c r="FA1071" s="25"/>
      <c r="FB1071" s="25"/>
      <c r="FC1071" s="25"/>
      <c r="FD1071" s="25"/>
      <c r="FE1071" s="25"/>
      <c r="FF1071" s="25"/>
      <c r="FG1071" s="25"/>
      <c r="FH1071" s="25"/>
      <c r="FI1071" s="25"/>
      <c r="FJ1071" s="25"/>
      <c r="FK1071" s="25"/>
      <c r="FL1071" s="25"/>
      <c r="FM1071" s="25"/>
      <c r="FN1071" s="25"/>
      <c r="FO1071" s="25"/>
      <c r="FP1071" s="25"/>
      <c r="FQ1071" s="25"/>
      <c r="FR1071" s="25"/>
      <c r="FS1071" s="25"/>
      <c r="FT1071" s="25"/>
      <c r="FU1071" s="25"/>
      <c r="FV1071" s="28"/>
      <c r="FW1071" s="27"/>
      <c r="FX1071" s="27"/>
      <c r="FY1071" s="25"/>
      <c r="FZ1071" s="25"/>
      <c r="GA1071" s="25"/>
      <c r="GB1071" s="25"/>
      <c r="GC1071" s="25"/>
      <c r="GD1071" s="25"/>
      <c r="GE1071" s="25"/>
      <c r="GF1071" s="25"/>
      <c r="GG1071" s="25"/>
      <c r="GH1071" s="25"/>
      <c r="GI1071" s="25"/>
      <c r="GJ1071" s="25"/>
      <c r="GK1071" s="25"/>
      <c r="GL1071" s="25"/>
      <c r="GM1071" s="25"/>
      <c r="GN1071" s="25"/>
      <c r="GO1071" s="25"/>
      <c r="GP1071" s="25"/>
      <c r="GQ1071" s="25"/>
      <c r="GR1071" s="25"/>
      <c r="GS1071" s="25"/>
      <c r="GT1071" s="25"/>
      <c r="GU1071" s="25"/>
      <c r="GV1071" s="25"/>
      <c r="GW1071" s="25"/>
      <c r="GX1071" s="25"/>
      <c r="GY1071" s="25"/>
      <c r="GZ1071" s="25"/>
      <c r="HA1071" s="25"/>
      <c r="HB1071" s="25"/>
      <c r="HC1071" s="25"/>
      <c r="HD1071" s="25"/>
      <c r="HE1071" s="25"/>
      <c r="HF1071" s="25"/>
      <c r="HG1071" s="25"/>
      <c r="HH1071" s="25"/>
      <c r="HI1071" s="25"/>
      <c r="HJ1071" s="25"/>
      <c r="HK1071" s="25"/>
      <c r="HL1071" s="25"/>
    </row>
    <row r="1072" spans="1:220" ht="15.75" customHeight="1" x14ac:dyDescent="0.2">
      <c r="A1072" s="25"/>
      <c r="B1072" s="29"/>
      <c r="C1072" s="26"/>
      <c r="D1072" s="29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  <c r="BH1072" s="25"/>
      <c r="BI1072" s="25"/>
      <c r="BJ1072" s="25"/>
      <c r="BK1072" s="25"/>
      <c r="BL1072" s="25"/>
      <c r="BM1072" s="25"/>
      <c r="BN1072" s="25"/>
      <c r="BO1072" s="25"/>
      <c r="BP1072" s="25"/>
      <c r="BQ1072" s="25"/>
      <c r="BR1072" s="25"/>
      <c r="BS1072" s="25"/>
      <c r="BT1072" s="25"/>
      <c r="BU1072" s="25"/>
      <c r="BV1072" s="25"/>
      <c r="BW1072" s="25"/>
      <c r="BX1072" s="25"/>
      <c r="BY1072" s="25"/>
      <c r="BZ1072" s="25"/>
      <c r="CA1072" s="25"/>
      <c r="CB1072" s="25"/>
      <c r="CC1072" s="25"/>
      <c r="CD1072" s="25"/>
      <c r="CE1072" s="25"/>
      <c r="CF1072" s="25"/>
      <c r="CG1072" s="25"/>
      <c r="CH1072" s="25"/>
      <c r="CI1072" s="25"/>
      <c r="CJ1072" s="25"/>
      <c r="CK1072" s="25"/>
      <c r="CL1072" s="25"/>
      <c r="CM1072" s="25"/>
      <c r="CN1072" s="25"/>
      <c r="CO1072" s="25"/>
      <c r="CP1072" s="25"/>
      <c r="CQ1072" s="25"/>
      <c r="CR1072" s="25"/>
      <c r="CS1072" s="25"/>
      <c r="CT1072" s="25"/>
      <c r="CU1072" s="25"/>
      <c r="CV1072" s="25"/>
      <c r="CW1072" s="25"/>
      <c r="CX1072" s="25"/>
      <c r="CY1072" s="25"/>
      <c r="CZ1072" s="25"/>
      <c r="DA1072" s="25"/>
      <c r="DB1072" s="25"/>
      <c r="DC1072" s="25"/>
      <c r="DD1072" s="25"/>
      <c r="DE1072" s="25"/>
      <c r="DF1072" s="25"/>
      <c r="DG1072" s="25"/>
      <c r="DH1072" s="25"/>
      <c r="DI1072" s="25"/>
      <c r="DJ1072" s="25"/>
      <c r="DK1072" s="25"/>
      <c r="DL1072" s="25"/>
      <c r="DM1072" s="25"/>
      <c r="DN1072" s="25"/>
      <c r="DO1072" s="25"/>
      <c r="DP1072" s="25"/>
      <c r="DQ1072" s="25"/>
      <c r="DR1072" s="25"/>
      <c r="DS1072" s="25"/>
      <c r="DT1072" s="25"/>
      <c r="DU1072" s="25"/>
      <c r="DV1072" s="25"/>
      <c r="DW1072" s="25"/>
      <c r="DX1072" s="25"/>
      <c r="DY1072" s="25"/>
      <c r="DZ1072" s="25"/>
      <c r="EA1072" s="25"/>
      <c r="EB1072" s="25"/>
      <c r="EC1072" s="25"/>
      <c r="ED1072" s="25"/>
      <c r="EE1072" s="25"/>
      <c r="EF1072" s="25"/>
      <c r="EG1072" s="25"/>
      <c r="EH1072" s="25"/>
      <c r="EI1072" s="25"/>
      <c r="EJ1072" s="25"/>
      <c r="EK1072" s="25"/>
      <c r="EL1072" s="25"/>
      <c r="EM1072" s="25"/>
      <c r="EN1072" s="25"/>
      <c r="EO1072" s="25"/>
      <c r="EP1072" s="25"/>
      <c r="EQ1072" s="25"/>
      <c r="ER1072" s="25"/>
      <c r="ES1072" s="25"/>
      <c r="ET1072" s="25"/>
      <c r="EU1072" s="25"/>
      <c r="EV1072" s="25"/>
      <c r="EW1072" s="25"/>
      <c r="EX1072" s="25"/>
      <c r="EY1072" s="25"/>
      <c r="EZ1072" s="25"/>
      <c r="FA1072" s="25"/>
      <c r="FB1072" s="25"/>
      <c r="FC1072" s="25"/>
      <c r="FD1072" s="25"/>
      <c r="FE1072" s="25"/>
      <c r="FF1072" s="25"/>
      <c r="FG1072" s="25"/>
      <c r="FH1072" s="25"/>
      <c r="FI1072" s="25"/>
      <c r="FJ1072" s="25"/>
      <c r="FK1072" s="25"/>
      <c r="FL1072" s="25"/>
      <c r="FM1072" s="25"/>
      <c r="FN1072" s="25"/>
      <c r="FO1072" s="25"/>
      <c r="FP1072" s="25"/>
      <c r="FQ1072" s="25"/>
      <c r="FR1072" s="25"/>
      <c r="FS1072" s="25"/>
      <c r="FT1072" s="25"/>
      <c r="FU1072" s="25"/>
      <c r="FV1072" s="28"/>
      <c r="FW1072" s="27"/>
      <c r="FX1072" s="27"/>
      <c r="FY1072" s="25"/>
      <c r="FZ1072" s="25"/>
      <c r="GA1072" s="25"/>
      <c r="GB1072" s="25"/>
      <c r="GC1072" s="25"/>
      <c r="GD1072" s="25"/>
      <c r="GE1072" s="25"/>
      <c r="GF1072" s="25"/>
      <c r="GG1072" s="25"/>
      <c r="GH1072" s="25"/>
      <c r="GI1072" s="25"/>
      <c r="GJ1072" s="25"/>
      <c r="GK1072" s="25"/>
      <c r="GL1072" s="25"/>
      <c r="GM1072" s="25"/>
      <c r="GN1072" s="25"/>
      <c r="GO1072" s="25"/>
      <c r="GP1072" s="25"/>
      <c r="GQ1072" s="25"/>
      <c r="GR1072" s="25"/>
      <c r="GS1072" s="25"/>
      <c r="GT1072" s="25"/>
      <c r="GU1072" s="25"/>
      <c r="GV1072" s="25"/>
      <c r="GW1072" s="25"/>
      <c r="GX1072" s="25"/>
      <c r="GY1072" s="25"/>
      <c r="GZ1072" s="25"/>
      <c r="HA1072" s="25"/>
      <c r="HB1072" s="25"/>
      <c r="HC1072" s="25"/>
      <c r="HD1072" s="25"/>
      <c r="HE1072" s="25"/>
      <c r="HF1072" s="25"/>
      <c r="HG1072" s="25"/>
      <c r="HH1072" s="25"/>
      <c r="HI1072" s="25"/>
      <c r="HJ1072" s="25"/>
      <c r="HK1072" s="25"/>
      <c r="HL1072" s="25"/>
    </row>
    <row r="1073" spans="1:220" ht="15.75" customHeight="1" x14ac:dyDescent="0.2">
      <c r="A1073" s="25"/>
      <c r="B1073" s="29"/>
      <c r="C1073" s="26"/>
      <c r="D1073" s="29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  <c r="BH1073" s="25"/>
      <c r="BI1073" s="25"/>
      <c r="BJ1073" s="25"/>
      <c r="BK1073" s="25"/>
      <c r="BL1073" s="25"/>
      <c r="BM1073" s="25"/>
      <c r="BN1073" s="25"/>
      <c r="BO1073" s="25"/>
      <c r="BP1073" s="25"/>
      <c r="BQ1073" s="25"/>
      <c r="BR1073" s="25"/>
      <c r="BS1073" s="25"/>
      <c r="BT1073" s="25"/>
      <c r="BU1073" s="25"/>
      <c r="BV1073" s="25"/>
      <c r="BW1073" s="25"/>
      <c r="BX1073" s="25"/>
      <c r="BY1073" s="25"/>
      <c r="BZ1073" s="25"/>
      <c r="CA1073" s="25"/>
      <c r="CB1073" s="25"/>
      <c r="CC1073" s="25"/>
      <c r="CD1073" s="25"/>
      <c r="CE1073" s="25"/>
      <c r="CF1073" s="25"/>
      <c r="CG1073" s="25"/>
      <c r="CH1073" s="25"/>
      <c r="CI1073" s="25"/>
      <c r="CJ1073" s="25"/>
      <c r="CK1073" s="25"/>
      <c r="CL1073" s="25"/>
      <c r="CM1073" s="25"/>
      <c r="CN1073" s="25"/>
      <c r="CO1073" s="25"/>
      <c r="CP1073" s="25"/>
      <c r="CQ1073" s="25"/>
      <c r="CR1073" s="25"/>
      <c r="CS1073" s="25"/>
      <c r="CT1073" s="25"/>
      <c r="CU1073" s="25"/>
      <c r="CV1073" s="25"/>
      <c r="CW1073" s="25"/>
      <c r="CX1073" s="25"/>
      <c r="CY1073" s="25"/>
      <c r="CZ1073" s="25"/>
      <c r="DA1073" s="25"/>
      <c r="DB1073" s="25"/>
      <c r="DC1073" s="25"/>
      <c r="DD1073" s="25"/>
      <c r="DE1073" s="25"/>
      <c r="DF1073" s="25"/>
      <c r="DG1073" s="25"/>
      <c r="DH1073" s="25"/>
      <c r="DI1073" s="25"/>
      <c r="DJ1073" s="25"/>
      <c r="DK1073" s="25"/>
      <c r="DL1073" s="25"/>
      <c r="DM1073" s="25"/>
      <c r="DN1073" s="25"/>
      <c r="DO1073" s="25"/>
      <c r="DP1073" s="25"/>
      <c r="DQ1073" s="25"/>
      <c r="DR1073" s="25"/>
      <c r="DS1073" s="25"/>
      <c r="DT1073" s="25"/>
      <c r="DU1073" s="25"/>
      <c r="DV1073" s="25"/>
      <c r="DW1073" s="25"/>
      <c r="DX1073" s="25"/>
      <c r="DY1073" s="25"/>
      <c r="DZ1073" s="25"/>
      <c r="EA1073" s="25"/>
      <c r="EB1073" s="25"/>
      <c r="EC1073" s="25"/>
      <c r="ED1073" s="25"/>
      <c r="EE1073" s="25"/>
      <c r="EF1073" s="25"/>
      <c r="EG1073" s="25"/>
      <c r="EH1073" s="25"/>
      <c r="EI1073" s="25"/>
      <c r="EJ1073" s="25"/>
      <c r="EK1073" s="25"/>
      <c r="EL1073" s="25"/>
      <c r="EM1073" s="25"/>
      <c r="EN1073" s="25"/>
      <c r="EO1073" s="25"/>
      <c r="EP1073" s="25"/>
      <c r="EQ1073" s="25"/>
      <c r="ER1073" s="25"/>
      <c r="ES1073" s="25"/>
      <c r="ET1073" s="25"/>
      <c r="EU1073" s="25"/>
      <c r="EV1073" s="25"/>
      <c r="EW1073" s="25"/>
      <c r="EX1073" s="25"/>
      <c r="EY1073" s="25"/>
      <c r="EZ1073" s="25"/>
      <c r="FA1073" s="25"/>
      <c r="FB1073" s="25"/>
      <c r="FC1073" s="25"/>
      <c r="FD1073" s="25"/>
      <c r="FE1073" s="25"/>
      <c r="FF1073" s="25"/>
      <c r="FG1073" s="25"/>
      <c r="FH1073" s="25"/>
      <c r="FI1073" s="25"/>
      <c r="FJ1073" s="25"/>
      <c r="FK1073" s="25"/>
      <c r="FL1073" s="25"/>
      <c r="FM1073" s="25"/>
      <c r="FN1073" s="25"/>
      <c r="FO1073" s="25"/>
      <c r="FP1073" s="25"/>
      <c r="FQ1073" s="25"/>
      <c r="FR1073" s="25"/>
      <c r="FS1073" s="25"/>
      <c r="FT1073" s="25"/>
      <c r="FU1073" s="25"/>
      <c r="FV1073" s="28"/>
      <c r="FW1073" s="27"/>
      <c r="FX1073" s="27"/>
      <c r="FY1073" s="25"/>
      <c r="FZ1073" s="25"/>
      <c r="GA1073" s="25"/>
      <c r="GB1073" s="25"/>
      <c r="GC1073" s="25"/>
      <c r="GD1073" s="25"/>
      <c r="GE1073" s="25"/>
      <c r="GF1073" s="25"/>
      <c r="GG1073" s="25"/>
      <c r="GH1073" s="25"/>
      <c r="GI1073" s="25"/>
      <c r="GJ1073" s="25"/>
      <c r="GK1073" s="25"/>
      <c r="GL1073" s="25"/>
      <c r="GM1073" s="25"/>
      <c r="GN1073" s="25"/>
      <c r="GO1073" s="25"/>
      <c r="GP1073" s="25"/>
      <c r="GQ1073" s="25"/>
      <c r="GR1073" s="25"/>
      <c r="GS1073" s="25"/>
      <c r="GT1073" s="25"/>
      <c r="GU1073" s="25"/>
      <c r="GV1073" s="25"/>
      <c r="GW1073" s="25"/>
      <c r="GX1073" s="25"/>
      <c r="GY1073" s="25"/>
      <c r="GZ1073" s="25"/>
      <c r="HA1073" s="25"/>
      <c r="HB1073" s="25"/>
      <c r="HC1073" s="25"/>
      <c r="HD1073" s="25"/>
      <c r="HE1073" s="25"/>
      <c r="HF1073" s="25"/>
      <c r="HG1073" s="25"/>
      <c r="HH1073" s="25"/>
      <c r="HI1073" s="25"/>
      <c r="HJ1073" s="25"/>
      <c r="HK1073" s="25"/>
      <c r="HL1073" s="25"/>
    </row>
    <row r="1074" spans="1:220" ht="15.75" customHeight="1" x14ac:dyDescent="0.2">
      <c r="A1074" s="25"/>
      <c r="B1074" s="29"/>
      <c r="C1074" s="26"/>
      <c r="D1074" s="29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  <c r="BC1074" s="25"/>
      <c r="BD1074" s="25"/>
      <c r="BE1074" s="25"/>
      <c r="BF1074" s="25"/>
      <c r="BG1074" s="25"/>
      <c r="BH1074" s="25"/>
      <c r="BI1074" s="25"/>
      <c r="BJ1074" s="25"/>
      <c r="BK1074" s="25"/>
      <c r="BL1074" s="25"/>
      <c r="BM1074" s="25"/>
      <c r="BN1074" s="25"/>
      <c r="BO1074" s="25"/>
      <c r="BP1074" s="25"/>
      <c r="BQ1074" s="25"/>
      <c r="BR1074" s="25"/>
      <c r="BS1074" s="25"/>
      <c r="BT1074" s="25"/>
      <c r="BU1074" s="25"/>
      <c r="BV1074" s="25"/>
      <c r="BW1074" s="25"/>
      <c r="BX1074" s="25"/>
      <c r="BY1074" s="25"/>
      <c r="BZ1074" s="25"/>
      <c r="CA1074" s="25"/>
      <c r="CB1074" s="25"/>
      <c r="CC1074" s="25"/>
      <c r="CD1074" s="25"/>
      <c r="CE1074" s="25"/>
      <c r="CF1074" s="25"/>
      <c r="CG1074" s="25"/>
      <c r="CH1074" s="25"/>
      <c r="CI1074" s="25"/>
      <c r="CJ1074" s="25"/>
      <c r="CK1074" s="25"/>
      <c r="CL1074" s="25"/>
      <c r="CM1074" s="25"/>
      <c r="CN1074" s="25"/>
      <c r="CO1074" s="25"/>
      <c r="CP1074" s="25"/>
      <c r="CQ1074" s="25"/>
      <c r="CR1074" s="25"/>
      <c r="CS1074" s="25"/>
      <c r="CT1074" s="25"/>
      <c r="CU1074" s="25"/>
      <c r="CV1074" s="25"/>
      <c r="CW1074" s="25"/>
      <c r="CX1074" s="25"/>
      <c r="CY1074" s="25"/>
      <c r="CZ1074" s="25"/>
      <c r="DA1074" s="25"/>
      <c r="DB1074" s="25"/>
      <c r="DC1074" s="25"/>
      <c r="DD1074" s="25"/>
      <c r="DE1074" s="25"/>
      <c r="DF1074" s="25"/>
      <c r="DG1074" s="25"/>
      <c r="DH1074" s="25"/>
      <c r="DI1074" s="25"/>
      <c r="DJ1074" s="25"/>
      <c r="DK1074" s="25"/>
      <c r="DL1074" s="25"/>
      <c r="DM1074" s="25"/>
      <c r="DN1074" s="25"/>
      <c r="DO1074" s="25"/>
      <c r="DP1074" s="25"/>
      <c r="DQ1074" s="25"/>
      <c r="DR1074" s="25"/>
      <c r="DS1074" s="25"/>
      <c r="DT1074" s="25"/>
      <c r="DU1074" s="25"/>
      <c r="DV1074" s="25"/>
      <c r="DW1074" s="25"/>
      <c r="DX1074" s="25"/>
      <c r="DY1074" s="25"/>
      <c r="DZ1074" s="25"/>
      <c r="EA1074" s="25"/>
      <c r="EB1074" s="25"/>
      <c r="EC1074" s="25"/>
      <c r="ED1074" s="25"/>
      <c r="EE1074" s="25"/>
      <c r="EF1074" s="25"/>
      <c r="EG1074" s="25"/>
      <c r="EH1074" s="25"/>
      <c r="EI1074" s="25"/>
      <c r="EJ1074" s="25"/>
      <c r="EK1074" s="25"/>
      <c r="EL1074" s="25"/>
      <c r="EM1074" s="25"/>
      <c r="EN1074" s="25"/>
      <c r="EO1074" s="25"/>
      <c r="EP1074" s="25"/>
      <c r="EQ1074" s="25"/>
      <c r="ER1074" s="25"/>
      <c r="ES1074" s="25"/>
      <c r="ET1074" s="25"/>
      <c r="EU1074" s="25"/>
      <c r="EV1074" s="25"/>
      <c r="EW1074" s="25"/>
      <c r="EX1074" s="25"/>
      <c r="EY1074" s="25"/>
      <c r="EZ1074" s="25"/>
      <c r="FA1074" s="25"/>
      <c r="FB1074" s="25"/>
      <c r="FC1074" s="25"/>
      <c r="FD1074" s="25"/>
      <c r="FE1074" s="25"/>
      <c r="FF1074" s="25"/>
      <c r="FG1074" s="25"/>
      <c r="FH1074" s="25"/>
      <c r="FI1074" s="25"/>
      <c r="FJ1074" s="25"/>
      <c r="FK1074" s="25"/>
      <c r="FL1074" s="25"/>
      <c r="FM1074" s="25"/>
      <c r="FN1074" s="25"/>
      <c r="FO1074" s="25"/>
      <c r="FP1074" s="25"/>
      <c r="FQ1074" s="25"/>
      <c r="FR1074" s="25"/>
      <c r="FS1074" s="25"/>
      <c r="FT1074" s="25"/>
      <c r="FU1074" s="25"/>
      <c r="FV1074" s="28"/>
      <c r="FW1074" s="27"/>
      <c r="FX1074" s="27"/>
      <c r="FY1074" s="25"/>
      <c r="FZ1074" s="25"/>
      <c r="GA1074" s="25"/>
      <c r="GB1074" s="25"/>
      <c r="GC1074" s="25"/>
      <c r="GD1074" s="25"/>
      <c r="GE1074" s="25"/>
      <c r="GF1074" s="25"/>
      <c r="GG1074" s="25"/>
      <c r="GH1074" s="25"/>
      <c r="GI1074" s="25"/>
      <c r="GJ1074" s="25"/>
      <c r="GK1074" s="25"/>
      <c r="GL1074" s="25"/>
      <c r="GM1074" s="25"/>
      <c r="GN1074" s="25"/>
      <c r="GO1074" s="25"/>
      <c r="GP1074" s="25"/>
      <c r="GQ1074" s="25"/>
      <c r="GR1074" s="25"/>
      <c r="GS1074" s="25"/>
      <c r="GT1074" s="25"/>
      <c r="GU1074" s="25"/>
      <c r="GV1074" s="25"/>
      <c r="GW1074" s="25"/>
      <c r="GX1074" s="25"/>
      <c r="GY1074" s="25"/>
      <c r="GZ1074" s="25"/>
      <c r="HA1074" s="25"/>
      <c r="HB1074" s="25"/>
      <c r="HC1074" s="25"/>
      <c r="HD1074" s="25"/>
      <c r="HE1074" s="25"/>
      <c r="HF1074" s="25"/>
      <c r="HG1074" s="25"/>
      <c r="HH1074" s="25"/>
      <c r="HI1074" s="25"/>
      <c r="HJ1074" s="25"/>
      <c r="HK1074" s="25"/>
      <c r="HL1074" s="25"/>
    </row>
    <row r="1075" spans="1:220" ht="15.75" customHeight="1" x14ac:dyDescent="0.2">
      <c r="A1075" s="25"/>
      <c r="B1075" s="29"/>
      <c r="C1075" s="26"/>
      <c r="D1075" s="29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  <c r="BC1075" s="25"/>
      <c r="BD1075" s="25"/>
      <c r="BE1075" s="25"/>
      <c r="BF1075" s="25"/>
      <c r="BG1075" s="25"/>
      <c r="BH1075" s="25"/>
      <c r="BI1075" s="25"/>
      <c r="BJ1075" s="25"/>
      <c r="BK1075" s="25"/>
      <c r="BL1075" s="25"/>
      <c r="BM1075" s="25"/>
      <c r="BN1075" s="25"/>
      <c r="BO1075" s="25"/>
      <c r="BP1075" s="25"/>
      <c r="BQ1075" s="25"/>
      <c r="BR1075" s="25"/>
      <c r="BS1075" s="25"/>
      <c r="BT1075" s="25"/>
      <c r="BU1075" s="25"/>
      <c r="BV1075" s="25"/>
      <c r="BW1075" s="25"/>
      <c r="BX1075" s="25"/>
      <c r="BY1075" s="25"/>
      <c r="BZ1075" s="25"/>
      <c r="CA1075" s="25"/>
      <c r="CB1075" s="25"/>
      <c r="CC1075" s="25"/>
      <c r="CD1075" s="25"/>
      <c r="CE1075" s="25"/>
      <c r="CF1075" s="25"/>
      <c r="CG1075" s="25"/>
      <c r="CH1075" s="25"/>
      <c r="CI1075" s="25"/>
      <c r="CJ1075" s="25"/>
      <c r="CK1075" s="25"/>
      <c r="CL1075" s="25"/>
      <c r="CM1075" s="25"/>
      <c r="CN1075" s="25"/>
      <c r="CO1075" s="25"/>
      <c r="CP1075" s="25"/>
      <c r="CQ1075" s="25"/>
      <c r="CR1075" s="25"/>
      <c r="CS1075" s="25"/>
      <c r="CT1075" s="25"/>
      <c r="CU1075" s="25"/>
      <c r="CV1075" s="25"/>
      <c r="CW1075" s="25"/>
      <c r="CX1075" s="25"/>
      <c r="CY1075" s="25"/>
      <c r="CZ1075" s="25"/>
      <c r="DA1075" s="25"/>
      <c r="DB1075" s="25"/>
      <c r="DC1075" s="25"/>
      <c r="DD1075" s="25"/>
      <c r="DE1075" s="25"/>
      <c r="DF1075" s="25"/>
      <c r="DG1075" s="25"/>
      <c r="DH1075" s="25"/>
      <c r="DI1075" s="25"/>
      <c r="DJ1075" s="25"/>
      <c r="DK1075" s="25"/>
      <c r="DL1075" s="25"/>
      <c r="DM1075" s="25"/>
      <c r="DN1075" s="25"/>
      <c r="DO1075" s="25"/>
      <c r="DP1075" s="25"/>
      <c r="DQ1075" s="25"/>
      <c r="DR1075" s="25"/>
      <c r="DS1075" s="25"/>
      <c r="DT1075" s="25"/>
      <c r="DU1075" s="25"/>
      <c r="DV1075" s="25"/>
      <c r="DW1075" s="25"/>
      <c r="DX1075" s="25"/>
      <c r="DY1075" s="25"/>
      <c r="DZ1075" s="25"/>
      <c r="EA1075" s="25"/>
      <c r="EB1075" s="25"/>
      <c r="EC1075" s="25"/>
      <c r="ED1075" s="25"/>
      <c r="EE1075" s="25"/>
      <c r="EF1075" s="25"/>
      <c r="EG1075" s="25"/>
      <c r="EH1075" s="25"/>
      <c r="EI1075" s="25"/>
      <c r="EJ1075" s="25"/>
      <c r="EK1075" s="25"/>
      <c r="EL1075" s="25"/>
      <c r="EM1075" s="25"/>
      <c r="EN1075" s="25"/>
      <c r="EO1075" s="25"/>
      <c r="EP1075" s="25"/>
      <c r="EQ1075" s="25"/>
      <c r="ER1075" s="25"/>
      <c r="ES1075" s="25"/>
      <c r="ET1075" s="25"/>
      <c r="EU1075" s="25"/>
      <c r="EV1075" s="25"/>
      <c r="EW1075" s="25"/>
      <c r="EX1075" s="25"/>
      <c r="EY1075" s="25"/>
      <c r="EZ1075" s="25"/>
      <c r="FA1075" s="25"/>
      <c r="FB1075" s="25"/>
      <c r="FC1075" s="25"/>
      <c r="FD1075" s="25"/>
      <c r="FE1075" s="25"/>
      <c r="FF1075" s="25"/>
      <c r="FG1075" s="25"/>
      <c r="FH1075" s="25"/>
      <c r="FI1075" s="25"/>
      <c r="FJ1075" s="25"/>
      <c r="FK1075" s="25"/>
      <c r="FL1075" s="25"/>
      <c r="FM1075" s="25"/>
      <c r="FN1075" s="25"/>
      <c r="FO1075" s="25"/>
      <c r="FP1075" s="25"/>
      <c r="FQ1075" s="25"/>
      <c r="FR1075" s="25"/>
      <c r="FS1075" s="25"/>
      <c r="FT1075" s="25"/>
      <c r="FU1075" s="25"/>
      <c r="FV1075" s="28"/>
      <c r="FW1075" s="27"/>
      <c r="FX1075" s="27"/>
      <c r="FY1075" s="25"/>
      <c r="FZ1075" s="25"/>
      <c r="GA1075" s="25"/>
      <c r="GB1075" s="25"/>
      <c r="GC1075" s="25"/>
      <c r="GD1075" s="25"/>
      <c r="GE1075" s="25"/>
      <c r="GF1075" s="25"/>
      <c r="GG1075" s="25"/>
      <c r="GH1075" s="25"/>
      <c r="GI1075" s="25"/>
      <c r="GJ1075" s="25"/>
      <c r="GK1075" s="25"/>
      <c r="GL1075" s="25"/>
      <c r="GM1075" s="25"/>
      <c r="GN1075" s="25"/>
      <c r="GO1075" s="25"/>
      <c r="GP1075" s="25"/>
      <c r="GQ1075" s="25"/>
      <c r="GR1075" s="25"/>
      <c r="GS1075" s="25"/>
      <c r="GT1075" s="25"/>
      <c r="GU1075" s="25"/>
      <c r="GV1075" s="25"/>
      <c r="GW1075" s="25"/>
      <c r="GX1075" s="25"/>
      <c r="GY1075" s="25"/>
      <c r="GZ1075" s="25"/>
      <c r="HA1075" s="25"/>
      <c r="HB1075" s="25"/>
      <c r="HC1075" s="25"/>
      <c r="HD1075" s="25"/>
      <c r="HE1075" s="25"/>
      <c r="HF1075" s="25"/>
      <c r="HG1075" s="25"/>
      <c r="HH1075" s="25"/>
      <c r="HI1075" s="25"/>
      <c r="HJ1075" s="25"/>
      <c r="HK1075" s="25"/>
      <c r="HL1075" s="25"/>
    </row>
    <row r="1076" spans="1:220" ht="15.75" customHeight="1" x14ac:dyDescent="0.2">
      <c r="A1076" s="25"/>
      <c r="B1076" s="29"/>
      <c r="C1076" s="26"/>
      <c r="D1076" s="29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  <c r="CA1076" s="25"/>
      <c r="CB1076" s="25"/>
      <c r="CC1076" s="25"/>
      <c r="CD1076" s="25"/>
      <c r="CE1076" s="25"/>
      <c r="CF1076" s="25"/>
      <c r="CG1076" s="25"/>
      <c r="CH1076" s="25"/>
      <c r="CI1076" s="25"/>
      <c r="CJ1076" s="25"/>
      <c r="CK1076" s="25"/>
      <c r="CL1076" s="25"/>
      <c r="CM1076" s="25"/>
      <c r="CN1076" s="25"/>
      <c r="CO1076" s="25"/>
      <c r="CP1076" s="25"/>
      <c r="CQ1076" s="25"/>
      <c r="CR1076" s="25"/>
      <c r="CS1076" s="25"/>
      <c r="CT1076" s="25"/>
      <c r="CU1076" s="25"/>
      <c r="CV1076" s="25"/>
      <c r="CW1076" s="25"/>
      <c r="CX1076" s="25"/>
      <c r="CY1076" s="25"/>
      <c r="CZ1076" s="25"/>
      <c r="DA1076" s="25"/>
      <c r="DB1076" s="25"/>
      <c r="DC1076" s="25"/>
      <c r="DD1076" s="25"/>
      <c r="DE1076" s="25"/>
      <c r="DF1076" s="25"/>
      <c r="DG1076" s="25"/>
      <c r="DH1076" s="25"/>
      <c r="DI1076" s="25"/>
      <c r="DJ1076" s="25"/>
      <c r="DK1076" s="25"/>
      <c r="DL1076" s="25"/>
      <c r="DM1076" s="25"/>
      <c r="DN1076" s="25"/>
      <c r="DO1076" s="25"/>
      <c r="DP1076" s="25"/>
      <c r="DQ1076" s="25"/>
      <c r="DR1076" s="25"/>
      <c r="DS1076" s="25"/>
      <c r="DT1076" s="25"/>
      <c r="DU1076" s="25"/>
      <c r="DV1076" s="25"/>
      <c r="DW1076" s="25"/>
      <c r="DX1076" s="25"/>
      <c r="DY1076" s="25"/>
      <c r="DZ1076" s="25"/>
      <c r="EA1076" s="25"/>
      <c r="EB1076" s="25"/>
      <c r="EC1076" s="25"/>
      <c r="ED1076" s="25"/>
      <c r="EE1076" s="25"/>
      <c r="EF1076" s="25"/>
      <c r="EG1076" s="25"/>
      <c r="EH1076" s="25"/>
      <c r="EI1076" s="25"/>
      <c r="EJ1076" s="25"/>
      <c r="EK1076" s="25"/>
      <c r="EL1076" s="25"/>
      <c r="EM1076" s="25"/>
      <c r="EN1076" s="25"/>
      <c r="EO1076" s="25"/>
      <c r="EP1076" s="25"/>
      <c r="EQ1076" s="25"/>
      <c r="ER1076" s="25"/>
      <c r="ES1076" s="25"/>
      <c r="ET1076" s="25"/>
      <c r="EU1076" s="25"/>
      <c r="EV1076" s="25"/>
      <c r="EW1076" s="25"/>
      <c r="EX1076" s="25"/>
      <c r="EY1076" s="25"/>
      <c r="EZ1076" s="25"/>
      <c r="FA1076" s="25"/>
      <c r="FB1076" s="25"/>
      <c r="FC1076" s="25"/>
      <c r="FD1076" s="25"/>
      <c r="FE1076" s="25"/>
      <c r="FF1076" s="25"/>
      <c r="FG1076" s="25"/>
      <c r="FH1076" s="25"/>
      <c r="FI1076" s="25"/>
      <c r="FJ1076" s="25"/>
      <c r="FK1076" s="25"/>
      <c r="FL1076" s="25"/>
      <c r="FM1076" s="25"/>
      <c r="FN1076" s="25"/>
      <c r="FO1076" s="25"/>
      <c r="FP1076" s="25"/>
      <c r="FQ1076" s="25"/>
      <c r="FR1076" s="25"/>
      <c r="FS1076" s="25"/>
      <c r="FT1076" s="25"/>
      <c r="FU1076" s="25"/>
      <c r="FV1076" s="28"/>
      <c r="FW1076" s="27"/>
      <c r="FX1076" s="27"/>
      <c r="FY1076" s="25"/>
      <c r="FZ1076" s="25"/>
      <c r="GA1076" s="25"/>
      <c r="GB1076" s="25"/>
      <c r="GC1076" s="25"/>
      <c r="GD1076" s="25"/>
      <c r="GE1076" s="25"/>
      <c r="GF1076" s="25"/>
      <c r="GG1076" s="25"/>
      <c r="GH1076" s="25"/>
      <c r="GI1076" s="25"/>
      <c r="GJ1076" s="25"/>
      <c r="GK1076" s="25"/>
      <c r="GL1076" s="25"/>
      <c r="GM1076" s="25"/>
      <c r="GN1076" s="25"/>
      <c r="GO1076" s="25"/>
      <c r="GP1076" s="25"/>
      <c r="GQ1076" s="25"/>
      <c r="GR1076" s="25"/>
      <c r="GS1076" s="25"/>
      <c r="GT1076" s="25"/>
      <c r="GU1076" s="25"/>
      <c r="GV1076" s="25"/>
      <c r="GW1076" s="25"/>
      <c r="GX1076" s="25"/>
      <c r="GY1076" s="25"/>
      <c r="GZ1076" s="25"/>
      <c r="HA1076" s="25"/>
      <c r="HB1076" s="25"/>
      <c r="HC1076" s="25"/>
      <c r="HD1076" s="25"/>
      <c r="HE1076" s="25"/>
      <c r="HF1076" s="25"/>
      <c r="HG1076" s="25"/>
      <c r="HH1076" s="25"/>
      <c r="HI1076" s="25"/>
      <c r="HJ1076" s="25"/>
      <c r="HK1076" s="25"/>
      <c r="HL1076" s="25"/>
    </row>
    <row r="1077" spans="1:220" ht="15.75" customHeight="1" x14ac:dyDescent="0.2">
      <c r="A1077" s="25"/>
      <c r="B1077" s="29"/>
      <c r="C1077" s="26"/>
      <c r="D1077" s="29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  <c r="BC1077" s="25"/>
      <c r="BD1077" s="25"/>
      <c r="BE1077" s="25"/>
      <c r="BF1077" s="25"/>
      <c r="BG1077" s="25"/>
      <c r="BH1077" s="25"/>
      <c r="BI1077" s="25"/>
      <c r="BJ1077" s="25"/>
      <c r="BK1077" s="25"/>
      <c r="BL1077" s="25"/>
      <c r="BM1077" s="25"/>
      <c r="BN1077" s="25"/>
      <c r="BO1077" s="25"/>
      <c r="BP1077" s="25"/>
      <c r="BQ1077" s="25"/>
      <c r="BR1077" s="25"/>
      <c r="BS1077" s="25"/>
      <c r="BT1077" s="25"/>
      <c r="BU1077" s="25"/>
      <c r="BV1077" s="25"/>
      <c r="BW1077" s="25"/>
      <c r="BX1077" s="25"/>
      <c r="BY1077" s="25"/>
      <c r="BZ1077" s="25"/>
      <c r="CA1077" s="25"/>
      <c r="CB1077" s="25"/>
      <c r="CC1077" s="25"/>
      <c r="CD1077" s="25"/>
      <c r="CE1077" s="25"/>
      <c r="CF1077" s="25"/>
      <c r="CG1077" s="25"/>
      <c r="CH1077" s="25"/>
      <c r="CI1077" s="25"/>
      <c r="CJ1077" s="25"/>
      <c r="CK1077" s="25"/>
      <c r="CL1077" s="25"/>
      <c r="CM1077" s="25"/>
      <c r="CN1077" s="25"/>
      <c r="CO1077" s="25"/>
      <c r="CP1077" s="25"/>
      <c r="CQ1077" s="25"/>
      <c r="CR1077" s="25"/>
      <c r="CS1077" s="25"/>
      <c r="CT1077" s="25"/>
      <c r="CU1077" s="25"/>
      <c r="CV1077" s="25"/>
      <c r="CW1077" s="25"/>
      <c r="CX1077" s="25"/>
      <c r="CY1077" s="25"/>
      <c r="CZ1077" s="25"/>
      <c r="DA1077" s="25"/>
      <c r="DB1077" s="25"/>
      <c r="DC1077" s="25"/>
      <c r="DD1077" s="25"/>
      <c r="DE1077" s="25"/>
      <c r="DF1077" s="25"/>
      <c r="DG1077" s="25"/>
      <c r="DH1077" s="25"/>
      <c r="DI1077" s="25"/>
      <c r="DJ1077" s="25"/>
      <c r="DK1077" s="25"/>
      <c r="DL1077" s="25"/>
      <c r="DM1077" s="25"/>
      <c r="DN1077" s="25"/>
      <c r="DO1077" s="25"/>
      <c r="DP1077" s="25"/>
      <c r="DQ1077" s="25"/>
      <c r="DR1077" s="25"/>
      <c r="DS1077" s="25"/>
      <c r="DT1077" s="25"/>
      <c r="DU1077" s="25"/>
      <c r="DV1077" s="25"/>
      <c r="DW1077" s="25"/>
      <c r="DX1077" s="25"/>
      <c r="DY1077" s="25"/>
      <c r="DZ1077" s="25"/>
      <c r="EA1077" s="25"/>
      <c r="EB1077" s="25"/>
      <c r="EC1077" s="25"/>
      <c r="ED1077" s="25"/>
      <c r="EE1077" s="25"/>
      <c r="EF1077" s="25"/>
      <c r="EG1077" s="25"/>
      <c r="EH1077" s="25"/>
      <c r="EI1077" s="25"/>
      <c r="EJ1077" s="25"/>
      <c r="EK1077" s="25"/>
      <c r="EL1077" s="25"/>
      <c r="EM1077" s="25"/>
      <c r="EN1077" s="25"/>
      <c r="EO1077" s="25"/>
      <c r="EP1077" s="25"/>
      <c r="EQ1077" s="25"/>
      <c r="ER1077" s="25"/>
      <c r="ES1077" s="25"/>
      <c r="ET1077" s="25"/>
      <c r="EU1077" s="25"/>
      <c r="EV1077" s="25"/>
      <c r="EW1077" s="25"/>
      <c r="EX1077" s="25"/>
      <c r="EY1077" s="25"/>
      <c r="EZ1077" s="25"/>
      <c r="FA1077" s="25"/>
      <c r="FB1077" s="25"/>
      <c r="FC1077" s="25"/>
      <c r="FD1077" s="25"/>
      <c r="FE1077" s="25"/>
      <c r="FF1077" s="25"/>
      <c r="FG1077" s="25"/>
      <c r="FH1077" s="25"/>
      <c r="FI1077" s="25"/>
      <c r="FJ1077" s="25"/>
      <c r="FK1077" s="25"/>
      <c r="FL1077" s="25"/>
      <c r="FM1077" s="25"/>
      <c r="FN1077" s="25"/>
      <c r="FO1077" s="25"/>
      <c r="FP1077" s="25"/>
      <c r="FQ1077" s="25"/>
      <c r="FR1077" s="25"/>
      <c r="FS1077" s="25"/>
      <c r="FT1077" s="25"/>
      <c r="FU1077" s="25"/>
      <c r="FV1077" s="28"/>
      <c r="FW1077" s="27"/>
      <c r="FX1077" s="27"/>
      <c r="FY1077" s="25"/>
      <c r="FZ1077" s="25"/>
      <c r="GA1077" s="25"/>
      <c r="GB1077" s="25"/>
      <c r="GC1077" s="25"/>
      <c r="GD1077" s="25"/>
      <c r="GE1077" s="25"/>
      <c r="GF1077" s="25"/>
      <c r="GG1077" s="25"/>
      <c r="GH1077" s="25"/>
      <c r="GI1077" s="25"/>
      <c r="GJ1077" s="25"/>
      <c r="GK1077" s="25"/>
      <c r="GL1077" s="25"/>
      <c r="GM1077" s="25"/>
      <c r="GN1077" s="25"/>
      <c r="GO1077" s="25"/>
      <c r="GP1077" s="25"/>
      <c r="GQ1077" s="25"/>
      <c r="GR1077" s="25"/>
      <c r="GS1077" s="25"/>
      <c r="GT1077" s="25"/>
      <c r="GU1077" s="25"/>
      <c r="GV1077" s="25"/>
      <c r="GW1077" s="25"/>
      <c r="GX1077" s="25"/>
      <c r="GY1077" s="25"/>
      <c r="GZ1077" s="25"/>
      <c r="HA1077" s="25"/>
      <c r="HB1077" s="25"/>
      <c r="HC1077" s="25"/>
      <c r="HD1077" s="25"/>
      <c r="HE1077" s="25"/>
      <c r="HF1077" s="25"/>
      <c r="HG1077" s="25"/>
      <c r="HH1077" s="25"/>
      <c r="HI1077" s="25"/>
      <c r="HJ1077" s="25"/>
      <c r="HK1077" s="25"/>
      <c r="HL1077" s="25"/>
    </row>
    <row r="1078" spans="1:220" ht="15.75" customHeight="1" x14ac:dyDescent="0.2">
      <c r="A1078" s="25"/>
      <c r="B1078" s="29"/>
      <c r="C1078" s="26"/>
      <c r="D1078" s="29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  <c r="BC1078" s="25"/>
      <c r="BD1078" s="25"/>
      <c r="BE1078" s="25"/>
      <c r="BF1078" s="25"/>
      <c r="BG1078" s="25"/>
      <c r="BH1078" s="25"/>
      <c r="BI1078" s="25"/>
      <c r="BJ1078" s="25"/>
      <c r="BK1078" s="25"/>
      <c r="BL1078" s="25"/>
      <c r="BM1078" s="25"/>
      <c r="BN1078" s="25"/>
      <c r="BO1078" s="25"/>
      <c r="BP1078" s="25"/>
      <c r="BQ1078" s="25"/>
      <c r="BR1078" s="25"/>
      <c r="BS1078" s="25"/>
      <c r="BT1078" s="25"/>
      <c r="BU1078" s="25"/>
      <c r="BV1078" s="25"/>
      <c r="BW1078" s="25"/>
      <c r="BX1078" s="25"/>
      <c r="BY1078" s="25"/>
      <c r="BZ1078" s="25"/>
      <c r="CA1078" s="25"/>
      <c r="CB1078" s="25"/>
      <c r="CC1078" s="25"/>
      <c r="CD1078" s="25"/>
      <c r="CE1078" s="25"/>
      <c r="CF1078" s="25"/>
      <c r="CG1078" s="25"/>
      <c r="CH1078" s="25"/>
      <c r="CI1078" s="25"/>
      <c r="CJ1078" s="25"/>
      <c r="CK1078" s="25"/>
      <c r="CL1078" s="25"/>
      <c r="CM1078" s="25"/>
      <c r="CN1078" s="25"/>
      <c r="CO1078" s="25"/>
      <c r="CP1078" s="25"/>
      <c r="CQ1078" s="25"/>
      <c r="CR1078" s="25"/>
      <c r="CS1078" s="25"/>
      <c r="CT1078" s="25"/>
      <c r="CU1078" s="25"/>
      <c r="CV1078" s="25"/>
      <c r="CW1078" s="25"/>
      <c r="CX1078" s="25"/>
      <c r="CY1078" s="25"/>
      <c r="CZ1078" s="25"/>
      <c r="DA1078" s="25"/>
      <c r="DB1078" s="25"/>
      <c r="DC1078" s="25"/>
      <c r="DD1078" s="25"/>
      <c r="DE1078" s="25"/>
      <c r="DF1078" s="25"/>
      <c r="DG1078" s="25"/>
      <c r="DH1078" s="25"/>
      <c r="DI1078" s="25"/>
      <c r="DJ1078" s="25"/>
      <c r="DK1078" s="25"/>
      <c r="DL1078" s="25"/>
      <c r="DM1078" s="25"/>
      <c r="DN1078" s="25"/>
      <c r="DO1078" s="25"/>
      <c r="DP1078" s="25"/>
      <c r="DQ1078" s="25"/>
      <c r="DR1078" s="25"/>
      <c r="DS1078" s="25"/>
      <c r="DT1078" s="25"/>
      <c r="DU1078" s="25"/>
      <c r="DV1078" s="25"/>
      <c r="DW1078" s="25"/>
      <c r="DX1078" s="25"/>
      <c r="DY1078" s="25"/>
      <c r="DZ1078" s="25"/>
      <c r="EA1078" s="25"/>
      <c r="EB1078" s="25"/>
      <c r="EC1078" s="25"/>
      <c r="ED1078" s="25"/>
      <c r="EE1078" s="25"/>
      <c r="EF1078" s="25"/>
      <c r="EG1078" s="25"/>
      <c r="EH1078" s="25"/>
      <c r="EI1078" s="25"/>
      <c r="EJ1078" s="25"/>
      <c r="EK1078" s="25"/>
      <c r="EL1078" s="25"/>
      <c r="EM1078" s="25"/>
      <c r="EN1078" s="25"/>
      <c r="EO1078" s="25"/>
      <c r="EP1078" s="25"/>
      <c r="EQ1078" s="25"/>
      <c r="ER1078" s="25"/>
      <c r="ES1078" s="25"/>
      <c r="ET1078" s="25"/>
      <c r="EU1078" s="25"/>
      <c r="EV1078" s="25"/>
      <c r="EW1078" s="25"/>
      <c r="EX1078" s="25"/>
      <c r="EY1078" s="25"/>
      <c r="EZ1078" s="25"/>
      <c r="FA1078" s="25"/>
      <c r="FB1078" s="25"/>
      <c r="FC1078" s="25"/>
      <c r="FD1078" s="25"/>
      <c r="FE1078" s="25"/>
      <c r="FF1078" s="25"/>
      <c r="FG1078" s="25"/>
      <c r="FH1078" s="25"/>
      <c r="FI1078" s="25"/>
      <c r="FJ1078" s="25"/>
      <c r="FK1078" s="25"/>
      <c r="FL1078" s="25"/>
      <c r="FM1078" s="25"/>
      <c r="FN1078" s="25"/>
      <c r="FO1078" s="25"/>
      <c r="FP1078" s="25"/>
      <c r="FQ1078" s="25"/>
      <c r="FR1078" s="25"/>
      <c r="FS1078" s="25"/>
      <c r="FT1078" s="25"/>
      <c r="FU1078" s="25"/>
      <c r="FV1078" s="28"/>
      <c r="FW1078" s="27"/>
      <c r="FX1078" s="27"/>
      <c r="FY1078" s="25"/>
      <c r="FZ1078" s="25"/>
      <c r="GA1078" s="25"/>
      <c r="GB1078" s="25"/>
      <c r="GC1078" s="25"/>
      <c r="GD1078" s="25"/>
      <c r="GE1078" s="25"/>
      <c r="GF1078" s="25"/>
      <c r="GG1078" s="25"/>
      <c r="GH1078" s="25"/>
      <c r="GI1078" s="25"/>
      <c r="GJ1078" s="25"/>
      <c r="GK1078" s="25"/>
      <c r="GL1078" s="25"/>
      <c r="GM1078" s="25"/>
      <c r="GN1078" s="25"/>
      <c r="GO1078" s="25"/>
      <c r="GP1078" s="25"/>
      <c r="GQ1078" s="25"/>
      <c r="GR1078" s="25"/>
      <c r="GS1078" s="25"/>
      <c r="GT1078" s="25"/>
      <c r="GU1078" s="25"/>
      <c r="GV1078" s="25"/>
      <c r="GW1078" s="25"/>
      <c r="GX1078" s="25"/>
      <c r="GY1078" s="25"/>
      <c r="GZ1078" s="25"/>
      <c r="HA1078" s="25"/>
      <c r="HB1078" s="25"/>
      <c r="HC1078" s="25"/>
      <c r="HD1078" s="25"/>
      <c r="HE1078" s="25"/>
      <c r="HF1078" s="25"/>
      <c r="HG1078" s="25"/>
      <c r="HH1078" s="25"/>
      <c r="HI1078" s="25"/>
      <c r="HJ1078" s="25"/>
      <c r="HK1078" s="25"/>
      <c r="HL1078" s="25"/>
    </row>
    <row r="1079" spans="1:220" ht="15.75" customHeight="1" x14ac:dyDescent="0.2">
      <c r="A1079" s="25"/>
      <c r="B1079" s="29"/>
      <c r="C1079" s="26"/>
      <c r="D1079" s="29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  <c r="BC1079" s="25"/>
      <c r="BD1079" s="25"/>
      <c r="BE1079" s="25"/>
      <c r="BF1079" s="25"/>
      <c r="BG1079" s="25"/>
      <c r="BH1079" s="25"/>
      <c r="BI1079" s="25"/>
      <c r="BJ1079" s="25"/>
      <c r="BK1079" s="25"/>
      <c r="BL1079" s="25"/>
      <c r="BM1079" s="25"/>
      <c r="BN1079" s="25"/>
      <c r="BO1079" s="25"/>
      <c r="BP1079" s="25"/>
      <c r="BQ1079" s="25"/>
      <c r="BR1079" s="25"/>
      <c r="BS1079" s="25"/>
      <c r="BT1079" s="25"/>
      <c r="BU1079" s="25"/>
      <c r="BV1079" s="25"/>
      <c r="BW1079" s="25"/>
      <c r="BX1079" s="25"/>
      <c r="BY1079" s="25"/>
      <c r="BZ1079" s="25"/>
      <c r="CA1079" s="25"/>
      <c r="CB1079" s="25"/>
      <c r="CC1079" s="25"/>
      <c r="CD1079" s="25"/>
      <c r="CE1079" s="25"/>
      <c r="CF1079" s="25"/>
      <c r="CG1079" s="25"/>
      <c r="CH1079" s="25"/>
      <c r="CI1079" s="25"/>
      <c r="CJ1079" s="25"/>
      <c r="CK1079" s="25"/>
      <c r="CL1079" s="25"/>
      <c r="CM1079" s="25"/>
      <c r="CN1079" s="25"/>
      <c r="CO1079" s="25"/>
      <c r="CP1079" s="25"/>
      <c r="CQ1079" s="25"/>
      <c r="CR1079" s="25"/>
      <c r="CS1079" s="25"/>
      <c r="CT1079" s="25"/>
      <c r="CU1079" s="25"/>
      <c r="CV1079" s="25"/>
      <c r="CW1079" s="25"/>
      <c r="CX1079" s="25"/>
      <c r="CY1079" s="25"/>
      <c r="CZ1079" s="25"/>
      <c r="DA1079" s="25"/>
      <c r="DB1079" s="25"/>
      <c r="DC1079" s="25"/>
      <c r="DD1079" s="25"/>
      <c r="DE1079" s="25"/>
      <c r="DF1079" s="25"/>
      <c r="DG1079" s="25"/>
      <c r="DH1079" s="25"/>
      <c r="DI1079" s="25"/>
      <c r="DJ1079" s="25"/>
      <c r="DK1079" s="25"/>
      <c r="DL1079" s="25"/>
      <c r="DM1079" s="25"/>
      <c r="DN1079" s="25"/>
      <c r="DO1079" s="25"/>
      <c r="DP1079" s="25"/>
      <c r="DQ1079" s="25"/>
      <c r="DR1079" s="25"/>
      <c r="DS1079" s="25"/>
      <c r="DT1079" s="25"/>
      <c r="DU1079" s="25"/>
      <c r="DV1079" s="25"/>
      <c r="DW1079" s="25"/>
      <c r="DX1079" s="25"/>
      <c r="DY1079" s="25"/>
      <c r="DZ1079" s="25"/>
      <c r="EA1079" s="25"/>
      <c r="EB1079" s="25"/>
      <c r="EC1079" s="25"/>
      <c r="ED1079" s="25"/>
      <c r="EE1079" s="25"/>
      <c r="EF1079" s="25"/>
      <c r="EG1079" s="25"/>
      <c r="EH1079" s="25"/>
      <c r="EI1079" s="25"/>
      <c r="EJ1079" s="25"/>
      <c r="EK1079" s="25"/>
      <c r="EL1079" s="25"/>
      <c r="EM1079" s="25"/>
      <c r="EN1079" s="25"/>
      <c r="EO1079" s="25"/>
      <c r="EP1079" s="25"/>
      <c r="EQ1079" s="25"/>
      <c r="ER1079" s="25"/>
      <c r="ES1079" s="25"/>
      <c r="ET1079" s="25"/>
      <c r="EU1079" s="25"/>
      <c r="EV1079" s="25"/>
      <c r="EW1079" s="25"/>
      <c r="EX1079" s="25"/>
      <c r="EY1079" s="25"/>
      <c r="EZ1079" s="25"/>
      <c r="FA1079" s="25"/>
      <c r="FB1079" s="25"/>
      <c r="FC1079" s="25"/>
      <c r="FD1079" s="25"/>
      <c r="FE1079" s="25"/>
      <c r="FF1079" s="25"/>
      <c r="FG1079" s="25"/>
      <c r="FH1079" s="25"/>
      <c r="FI1079" s="25"/>
      <c r="FJ1079" s="25"/>
      <c r="FK1079" s="25"/>
      <c r="FL1079" s="25"/>
      <c r="FM1079" s="25"/>
      <c r="FN1079" s="25"/>
      <c r="FO1079" s="25"/>
      <c r="FP1079" s="25"/>
      <c r="FQ1079" s="25"/>
      <c r="FR1079" s="25"/>
      <c r="FS1079" s="25"/>
      <c r="FT1079" s="25"/>
      <c r="FU1079" s="25"/>
      <c r="FV1079" s="28"/>
      <c r="FW1079" s="27"/>
      <c r="FX1079" s="27"/>
      <c r="FY1079" s="25"/>
      <c r="FZ1079" s="25"/>
      <c r="GA1079" s="25"/>
      <c r="GB1079" s="25"/>
      <c r="GC1079" s="25"/>
      <c r="GD1079" s="25"/>
      <c r="GE1079" s="25"/>
      <c r="GF1079" s="25"/>
      <c r="GG1079" s="25"/>
      <c r="GH1079" s="25"/>
      <c r="GI1079" s="25"/>
      <c r="GJ1079" s="25"/>
      <c r="GK1079" s="25"/>
      <c r="GL1079" s="25"/>
      <c r="GM1079" s="25"/>
      <c r="GN1079" s="25"/>
      <c r="GO1079" s="25"/>
      <c r="GP1079" s="25"/>
      <c r="GQ1079" s="25"/>
      <c r="GR1079" s="25"/>
      <c r="GS1079" s="25"/>
      <c r="GT1079" s="25"/>
      <c r="GU1079" s="25"/>
      <c r="GV1079" s="25"/>
      <c r="GW1079" s="25"/>
      <c r="GX1079" s="25"/>
      <c r="GY1079" s="25"/>
      <c r="GZ1079" s="25"/>
      <c r="HA1079" s="25"/>
      <c r="HB1079" s="25"/>
      <c r="HC1079" s="25"/>
      <c r="HD1079" s="25"/>
      <c r="HE1079" s="25"/>
      <c r="HF1079" s="25"/>
      <c r="HG1079" s="25"/>
      <c r="HH1079" s="25"/>
      <c r="HI1079" s="25"/>
      <c r="HJ1079" s="25"/>
      <c r="HK1079" s="25"/>
      <c r="HL1079" s="25"/>
    </row>
    <row r="1080" spans="1:220" ht="15.75" customHeight="1" x14ac:dyDescent="0.2">
      <c r="A1080" s="25"/>
      <c r="B1080" s="29"/>
      <c r="C1080" s="26"/>
      <c r="D1080" s="29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  <c r="BC1080" s="25"/>
      <c r="BD1080" s="25"/>
      <c r="BE1080" s="25"/>
      <c r="BF1080" s="25"/>
      <c r="BG1080" s="25"/>
      <c r="BH1080" s="25"/>
      <c r="BI1080" s="25"/>
      <c r="BJ1080" s="25"/>
      <c r="BK1080" s="25"/>
      <c r="BL1080" s="25"/>
      <c r="BM1080" s="25"/>
      <c r="BN1080" s="25"/>
      <c r="BO1080" s="25"/>
      <c r="BP1080" s="25"/>
      <c r="BQ1080" s="25"/>
      <c r="BR1080" s="25"/>
      <c r="BS1080" s="25"/>
      <c r="BT1080" s="25"/>
      <c r="BU1080" s="25"/>
      <c r="BV1080" s="25"/>
      <c r="BW1080" s="25"/>
      <c r="BX1080" s="25"/>
      <c r="BY1080" s="25"/>
      <c r="BZ1080" s="25"/>
      <c r="CA1080" s="25"/>
      <c r="CB1080" s="25"/>
      <c r="CC1080" s="25"/>
      <c r="CD1080" s="25"/>
      <c r="CE1080" s="25"/>
      <c r="CF1080" s="25"/>
      <c r="CG1080" s="25"/>
      <c r="CH1080" s="25"/>
      <c r="CI1080" s="25"/>
      <c r="CJ1080" s="25"/>
      <c r="CK1080" s="25"/>
      <c r="CL1080" s="25"/>
      <c r="CM1080" s="25"/>
      <c r="CN1080" s="25"/>
      <c r="CO1080" s="25"/>
      <c r="CP1080" s="25"/>
      <c r="CQ1080" s="25"/>
      <c r="CR1080" s="25"/>
      <c r="CS1080" s="25"/>
      <c r="CT1080" s="25"/>
      <c r="CU1080" s="25"/>
      <c r="CV1080" s="25"/>
      <c r="CW1080" s="25"/>
      <c r="CX1080" s="25"/>
      <c r="CY1080" s="25"/>
      <c r="CZ1080" s="25"/>
      <c r="DA1080" s="25"/>
      <c r="DB1080" s="25"/>
      <c r="DC1080" s="25"/>
      <c r="DD1080" s="25"/>
      <c r="DE1080" s="25"/>
      <c r="DF1080" s="25"/>
      <c r="DG1080" s="25"/>
      <c r="DH1080" s="25"/>
      <c r="DI1080" s="25"/>
      <c r="DJ1080" s="25"/>
      <c r="DK1080" s="25"/>
      <c r="DL1080" s="25"/>
      <c r="DM1080" s="25"/>
      <c r="DN1080" s="25"/>
      <c r="DO1080" s="25"/>
      <c r="DP1080" s="25"/>
      <c r="DQ1080" s="25"/>
      <c r="DR1080" s="25"/>
      <c r="DS1080" s="25"/>
      <c r="DT1080" s="25"/>
      <c r="DU1080" s="25"/>
      <c r="DV1080" s="25"/>
      <c r="DW1080" s="25"/>
      <c r="DX1080" s="25"/>
      <c r="DY1080" s="25"/>
      <c r="DZ1080" s="25"/>
      <c r="EA1080" s="25"/>
      <c r="EB1080" s="25"/>
      <c r="EC1080" s="25"/>
      <c r="ED1080" s="25"/>
      <c r="EE1080" s="25"/>
      <c r="EF1080" s="25"/>
      <c r="EG1080" s="25"/>
      <c r="EH1080" s="25"/>
      <c r="EI1080" s="25"/>
      <c r="EJ1080" s="25"/>
      <c r="EK1080" s="25"/>
      <c r="EL1080" s="25"/>
      <c r="EM1080" s="25"/>
      <c r="EN1080" s="25"/>
      <c r="EO1080" s="25"/>
      <c r="EP1080" s="25"/>
      <c r="EQ1080" s="25"/>
      <c r="ER1080" s="25"/>
      <c r="ES1080" s="25"/>
      <c r="ET1080" s="25"/>
      <c r="EU1080" s="25"/>
      <c r="EV1080" s="25"/>
      <c r="EW1080" s="25"/>
      <c r="EX1080" s="25"/>
      <c r="EY1080" s="25"/>
      <c r="EZ1080" s="25"/>
      <c r="FA1080" s="25"/>
      <c r="FB1080" s="25"/>
      <c r="FC1080" s="25"/>
      <c r="FD1080" s="25"/>
      <c r="FE1080" s="25"/>
      <c r="FF1080" s="25"/>
      <c r="FG1080" s="25"/>
      <c r="FH1080" s="25"/>
      <c r="FI1080" s="25"/>
      <c r="FJ1080" s="25"/>
      <c r="FK1080" s="25"/>
      <c r="FL1080" s="25"/>
      <c r="FM1080" s="25"/>
      <c r="FN1080" s="25"/>
      <c r="FO1080" s="25"/>
      <c r="FP1080" s="25"/>
      <c r="FQ1080" s="25"/>
      <c r="FR1080" s="25"/>
      <c r="FS1080" s="25"/>
      <c r="FT1080" s="25"/>
      <c r="FU1080" s="25"/>
      <c r="FV1080" s="28"/>
      <c r="FW1080" s="27"/>
      <c r="FX1080" s="27"/>
      <c r="FY1080" s="25"/>
      <c r="FZ1080" s="25"/>
      <c r="GA1080" s="25"/>
      <c r="GB1080" s="25"/>
      <c r="GC1080" s="25"/>
      <c r="GD1080" s="25"/>
      <c r="GE1080" s="25"/>
      <c r="GF1080" s="25"/>
      <c r="GG1080" s="25"/>
      <c r="GH1080" s="25"/>
      <c r="GI1080" s="25"/>
      <c r="GJ1080" s="25"/>
      <c r="GK1080" s="25"/>
      <c r="GL1080" s="25"/>
      <c r="GM1080" s="25"/>
      <c r="GN1080" s="25"/>
      <c r="GO1080" s="25"/>
      <c r="GP1080" s="25"/>
      <c r="GQ1080" s="25"/>
      <c r="GR1080" s="25"/>
      <c r="GS1080" s="25"/>
      <c r="GT1080" s="25"/>
      <c r="GU1080" s="25"/>
      <c r="GV1080" s="25"/>
      <c r="GW1080" s="25"/>
      <c r="GX1080" s="25"/>
      <c r="GY1080" s="25"/>
      <c r="GZ1080" s="25"/>
      <c r="HA1080" s="25"/>
      <c r="HB1080" s="25"/>
      <c r="HC1080" s="25"/>
      <c r="HD1080" s="25"/>
      <c r="HE1080" s="25"/>
      <c r="HF1080" s="25"/>
      <c r="HG1080" s="25"/>
      <c r="HH1080" s="25"/>
      <c r="HI1080" s="25"/>
      <c r="HJ1080" s="25"/>
      <c r="HK1080" s="25"/>
      <c r="HL1080" s="25"/>
    </row>
    <row r="1081" spans="1:220" ht="15.75" customHeight="1" x14ac:dyDescent="0.2">
      <c r="A1081" s="25"/>
      <c r="B1081" s="29"/>
      <c r="C1081" s="26"/>
      <c r="D1081" s="29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  <c r="BC1081" s="25"/>
      <c r="BD1081" s="25"/>
      <c r="BE1081" s="25"/>
      <c r="BF1081" s="25"/>
      <c r="BG1081" s="25"/>
      <c r="BH1081" s="25"/>
      <c r="BI1081" s="25"/>
      <c r="BJ1081" s="25"/>
      <c r="BK1081" s="25"/>
      <c r="BL1081" s="25"/>
      <c r="BM1081" s="25"/>
      <c r="BN1081" s="25"/>
      <c r="BO1081" s="25"/>
      <c r="BP1081" s="25"/>
      <c r="BQ1081" s="25"/>
      <c r="BR1081" s="25"/>
      <c r="BS1081" s="25"/>
      <c r="BT1081" s="25"/>
      <c r="BU1081" s="25"/>
      <c r="BV1081" s="25"/>
      <c r="BW1081" s="25"/>
      <c r="BX1081" s="25"/>
      <c r="BY1081" s="25"/>
      <c r="BZ1081" s="25"/>
      <c r="CA1081" s="25"/>
      <c r="CB1081" s="25"/>
      <c r="CC1081" s="25"/>
      <c r="CD1081" s="25"/>
      <c r="CE1081" s="25"/>
      <c r="CF1081" s="25"/>
      <c r="CG1081" s="25"/>
      <c r="CH1081" s="25"/>
      <c r="CI1081" s="25"/>
      <c r="CJ1081" s="25"/>
      <c r="CK1081" s="25"/>
      <c r="CL1081" s="25"/>
      <c r="CM1081" s="25"/>
      <c r="CN1081" s="25"/>
      <c r="CO1081" s="25"/>
      <c r="CP1081" s="25"/>
      <c r="CQ1081" s="25"/>
      <c r="CR1081" s="25"/>
      <c r="CS1081" s="25"/>
      <c r="CT1081" s="25"/>
      <c r="CU1081" s="25"/>
      <c r="CV1081" s="25"/>
      <c r="CW1081" s="25"/>
      <c r="CX1081" s="25"/>
      <c r="CY1081" s="25"/>
      <c r="CZ1081" s="25"/>
      <c r="DA1081" s="25"/>
      <c r="DB1081" s="25"/>
      <c r="DC1081" s="25"/>
      <c r="DD1081" s="25"/>
      <c r="DE1081" s="25"/>
      <c r="DF1081" s="25"/>
      <c r="DG1081" s="25"/>
      <c r="DH1081" s="25"/>
      <c r="DI1081" s="25"/>
      <c r="DJ1081" s="25"/>
      <c r="DK1081" s="25"/>
      <c r="DL1081" s="25"/>
      <c r="DM1081" s="25"/>
      <c r="DN1081" s="25"/>
      <c r="DO1081" s="25"/>
      <c r="DP1081" s="25"/>
      <c r="DQ1081" s="25"/>
      <c r="DR1081" s="25"/>
      <c r="DS1081" s="25"/>
      <c r="DT1081" s="25"/>
      <c r="DU1081" s="25"/>
      <c r="DV1081" s="25"/>
      <c r="DW1081" s="25"/>
      <c r="DX1081" s="25"/>
      <c r="DY1081" s="25"/>
      <c r="DZ1081" s="25"/>
      <c r="EA1081" s="25"/>
      <c r="EB1081" s="25"/>
      <c r="EC1081" s="25"/>
      <c r="ED1081" s="25"/>
      <c r="EE1081" s="25"/>
      <c r="EF1081" s="25"/>
      <c r="EG1081" s="25"/>
      <c r="EH1081" s="25"/>
      <c r="EI1081" s="25"/>
      <c r="EJ1081" s="25"/>
      <c r="EK1081" s="25"/>
      <c r="EL1081" s="25"/>
      <c r="EM1081" s="25"/>
      <c r="EN1081" s="25"/>
      <c r="EO1081" s="25"/>
      <c r="EP1081" s="25"/>
      <c r="EQ1081" s="25"/>
      <c r="ER1081" s="25"/>
      <c r="ES1081" s="25"/>
      <c r="ET1081" s="25"/>
      <c r="EU1081" s="25"/>
      <c r="EV1081" s="25"/>
      <c r="EW1081" s="25"/>
      <c r="EX1081" s="25"/>
      <c r="EY1081" s="25"/>
      <c r="EZ1081" s="25"/>
      <c r="FA1081" s="25"/>
      <c r="FB1081" s="25"/>
      <c r="FC1081" s="25"/>
      <c r="FD1081" s="25"/>
      <c r="FE1081" s="25"/>
      <c r="FF1081" s="25"/>
      <c r="FG1081" s="25"/>
      <c r="FH1081" s="25"/>
      <c r="FI1081" s="25"/>
      <c r="FJ1081" s="25"/>
      <c r="FK1081" s="25"/>
      <c r="FL1081" s="25"/>
      <c r="FM1081" s="25"/>
      <c r="FN1081" s="25"/>
      <c r="FO1081" s="25"/>
      <c r="FP1081" s="25"/>
      <c r="FQ1081" s="25"/>
      <c r="FR1081" s="25"/>
      <c r="FS1081" s="25"/>
      <c r="FT1081" s="25"/>
      <c r="FU1081" s="25"/>
      <c r="FV1081" s="28"/>
      <c r="FW1081" s="27"/>
      <c r="FX1081" s="27"/>
      <c r="FY1081" s="25"/>
      <c r="FZ1081" s="25"/>
      <c r="GA1081" s="25"/>
      <c r="GB1081" s="25"/>
      <c r="GC1081" s="25"/>
      <c r="GD1081" s="25"/>
      <c r="GE1081" s="25"/>
      <c r="GF1081" s="25"/>
      <c r="GG1081" s="25"/>
      <c r="GH1081" s="25"/>
      <c r="GI1081" s="25"/>
      <c r="GJ1081" s="25"/>
      <c r="GK1081" s="25"/>
      <c r="GL1081" s="25"/>
      <c r="GM1081" s="25"/>
      <c r="GN1081" s="25"/>
      <c r="GO1081" s="25"/>
      <c r="GP1081" s="25"/>
      <c r="GQ1081" s="25"/>
      <c r="GR1081" s="25"/>
      <c r="GS1081" s="25"/>
      <c r="GT1081" s="25"/>
      <c r="GU1081" s="25"/>
      <c r="GV1081" s="25"/>
      <c r="GW1081" s="25"/>
      <c r="GX1081" s="25"/>
      <c r="GY1081" s="25"/>
      <c r="GZ1081" s="25"/>
      <c r="HA1081" s="25"/>
      <c r="HB1081" s="25"/>
      <c r="HC1081" s="25"/>
      <c r="HD1081" s="25"/>
      <c r="HE1081" s="25"/>
      <c r="HF1081" s="25"/>
      <c r="HG1081" s="25"/>
      <c r="HH1081" s="25"/>
      <c r="HI1081" s="25"/>
      <c r="HJ1081" s="25"/>
      <c r="HK1081" s="25"/>
      <c r="HL1081" s="25"/>
    </row>
    <row r="1082" spans="1:220" ht="15.75" customHeight="1" x14ac:dyDescent="0.2">
      <c r="A1082" s="25"/>
      <c r="B1082" s="29"/>
      <c r="C1082" s="26"/>
      <c r="D1082" s="29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  <c r="BC1082" s="25"/>
      <c r="BD1082" s="25"/>
      <c r="BE1082" s="25"/>
      <c r="BF1082" s="25"/>
      <c r="BG1082" s="25"/>
      <c r="BH1082" s="25"/>
      <c r="BI1082" s="25"/>
      <c r="BJ1082" s="25"/>
      <c r="BK1082" s="25"/>
      <c r="BL1082" s="25"/>
      <c r="BM1082" s="25"/>
      <c r="BN1082" s="25"/>
      <c r="BO1082" s="25"/>
      <c r="BP1082" s="25"/>
      <c r="BQ1082" s="25"/>
      <c r="BR1082" s="25"/>
      <c r="BS1082" s="25"/>
      <c r="BT1082" s="25"/>
      <c r="BU1082" s="25"/>
      <c r="BV1082" s="25"/>
      <c r="BW1082" s="25"/>
      <c r="BX1082" s="25"/>
      <c r="BY1082" s="25"/>
      <c r="BZ1082" s="25"/>
      <c r="CA1082" s="25"/>
      <c r="CB1082" s="25"/>
      <c r="CC1082" s="25"/>
      <c r="CD1082" s="25"/>
      <c r="CE1082" s="25"/>
      <c r="CF1082" s="25"/>
      <c r="CG1082" s="25"/>
      <c r="CH1082" s="25"/>
      <c r="CI1082" s="25"/>
      <c r="CJ1082" s="25"/>
      <c r="CK1082" s="25"/>
      <c r="CL1082" s="25"/>
      <c r="CM1082" s="25"/>
      <c r="CN1082" s="25"/>
      <c r="CO1082" s="25"/>
      <c r="CP1082" s="25"/>
      <c r="CQ1082" s="25"/>
      <c r="CR1082" s="25"/>
      <c r="CS1082" s="25"/>
      <c r="CT1082" s="25"/>
      <c r="CU1082" s="25"/>
      <c r="CV1082" s="25"/>
      <c r="CW1082" s="25"/>
      <c r="CX1082" s="25"/>
      <c r="CY1082" s="25"/>
      <c r="CZ1082" s="25"/>
      <c r="DA1082" s="25"/>
      <c r="DB1082" s="25"/>
      <c r="DC1082" s="25"/>
      <c r="DD1082" s="25"/>
      <c r="DE1082" s="25"/>
      <c r="DF1082" s="25"/>
      <c r="DG1082" s="25"/>
      <c r="DH1082" s="25"/>
      <c r="DI1082" s="25"/>
      <c r="DJ1082" s="25"/>
      <c r="DK1082" s="25"/>
      <c r="DL1082" s="25"/>
      <c r="DM1082" s="25"/>
      <c r="DN1082" s="25"/>
      <c r="DO1082" s="25"/>
      <c r="DP1082" s="25"/>
      <c r="DQ1082" s="25"/>
      <c r="DR1082" s="25"/>
      <c r="DS1082" s="25"/>
      <c r="DT1082" s="25"/>
      <c r="DU1082" s="25"/>
      <c r="DV1082" s="25"/>
      <c r="DW1082" s="25"/>
      <c r="DX1082" s="25"/>
      <c r="DY1082" s="25"/>
      <c r="DZ1082" s="25"/>
      <c r="EA1082" s="25"/>
      <c r="EB1082" s="25"/>
      <c r="EC1082" s="25"/>
      <c r="ED1082" s="25"/>
      <c r="EE1082" s="25"/>
      <c r="EF1082" s="25"/>
      <c r="EG1082" s="25"/>
      <c r="EH1082" s="25"/>
      <c r="EI1082" s="25"/>
      <c r="EJ1082" s="25"/>
      <c r="EK1082" s="25"/>
      <c r="EL1082" s="25"/>
      <c r="EM1082" s="25"/>
      <c r="EN1082" s="25"/>
      <c r="EO1082" s="25"/>
      <c r="EP1082" s="25"/>
      <c r="EQ1082" s="25"/>
      <c r="ER1082" s="25"/>
      <c r="ES1082" s="25"/>
      <c r="ET1082" s="25"/>
      <c r="EU1082" s="25"/>
      <c r="EV1082" s="25"/>
      <c r="EW1082" s="25"/>
      <c r="EX1082" s="25"/>
      <c r="EY1082" s="25"/>
      <c r="EZ1082" s="25"/>
      <c r="FA1082" s="25"/>
      <c r="FB1082" s="25"/>
      <c r="FC1082" s="25"/>
      <c r="FD1082" s="25"/>
      <c r="FE1082" s="25"/>
      <c r="FF1082" s="25"/>
      <c r="FG1082" s="25"/>
      <c r="FH1082" s="25"/>
      <c r="FI1082" s="25"/>
      <c r="FJ1082" s="25"/>
      <c r="FK1082" s="25"/>
      <c r="FL1082" s="25"/>
      <c r="FM1082" s="25"/>
      <c r="FN1082" s="25"/>
      <c r="FO1082" s="25"/>
      <c r="FP1082" s="25"/>
      <c r="FQ1082" s="25"/>
      <c r="FR1082" s="25"/>
      <c r="FS1082" s="25"/>
      <c r="FT1082" s="25"/>
      <c r="FU1082" s="25"/>
      <c r="FV1082" s="28"/>
      <c r="FW1082" s="27"/>
      <c r="FX1082" s="27"/>
      <c r="FY1082" s="25"/>
      <c r="FZ1082" s="25"/>
      <c r="GA1082" s="25"/>
      <c r="GB1082" s="25"/>
      <c r="GC1082" s="25"/>
      <c r="GD1082" s="25"/>
      <c r="GE1082" s="25"/>
      <c r="GF1082" s="25"/>
      <c r="GG1082" s="25"/>
      <c r="GH1082" s="25"/>
      <c r="GI1082" s="25"/>
      <c r="GJ1082" s="25"/>
      <c r="GK1082" s="25"/>
      <c r="GL1082" s="25"/>
      <c r="GM1082" s="25"/>
      <c r="GN1082" s="25"/>
      <c r="GO1082" s="25"/>
      <c r="GP1082" s="25"/>
      <c r="GQ1082" s="25"/>
      <c r="GR1082" s="25"/>
      <c r="GS1082" s="25"/>
      <c r="GT1082" s="25"/>
      <c r="GU1082" s="25"/>
      <c r="GV1082" s="25"/>
      <c r="GW1082" s="25"/>
      <c r="GX1082" s="25"/>
      <c r="GY1082" s="25"/>
      <c r="GZ1082" s="25"/>
      <c r="HA1082" s="25"/>
      <c r="HB1082" s="25"/>
      <c r="HC1082" s="25"/>
      <c r="HD1082" s="25"/>
      <c r="HE1082" s="25"/>
      <c r="HF1082" s="25"/>
      <c r="HG1082" s="25"/>
      <c r="HH1082" s="25"/>
      <c r="HI1082" s="25"/>
      <c r="HJ1082" s="25"/>
      <c r="HK1082" s="25"/>
      <c r="HL1082" s="25"/>
    </row>
    <row r="1083" spans="1:220" ht="15.75" customHeight="1" x14ac:dyDescent="0.2">
      <c r="A1083" s="25"/>
      <c r="B1083" s="29"/>
      <c r="C1083" s="26"/>
      <c r="D1083" s="29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  <c r="BC1083" s="25"/>
      <c r="BD1083" s="25"/>
      <c r="BE1083" s="25"/>
      <c r="BF1083" s="25"/>
      <c r="BG1083" s="25"/>
      <c r="BH1083" s="25"/>
      <c r="BI1083" s="25"/>
      <c r="BJ1083" s="25"/>
      <c r="BK1083" s="25"/>
      <c r="BL1083" s="25"/>
      <c r="BM1083" s="25"/>
      <c r="BN1083" s="25"/>
      <c r="BO1083" s="25"/>
      <c r="BP1083" s="25"/>
      <c r="BQ1083" s="25"/>
      <c r="BR1083" s="25"/>
      <c r="BS1083" s="25"/>
      <c r="BT1083" s="25"/>
      <c r="BU1083" s="25"/>
      <c r="BV1083" s="25"/>
      <c r="BW1083" s="25"/>
      <c r="BX1083" s="25"/>
      <c r="BY1083" s="25"/>
      <c r="BZ1083" s="25"/>
      <c r="CA1083" s="25"/>
      <c r="CB1083" s="25"/>
      <c r="CC1083" s="25"/>
      <c r="CD1083" s="25"/>
      <c r="CE1083" s="25"/>
      <c r="CF1083" s="25"/>
      <c r="CG1083" s="25"/>
      <c r="CH1083" s="25"/>
      <c r="CI1083" s="25"/>
      <c r="CJ1083" s="25"/>
      <c r="CK1083" s="25"/>
      <c r="CL1083" s="25"/>
      <c r="CM1083" s="25"/>
      <c r="CN1083" s="25"/>
      <c r="CO1083" s="25"/>
      <c r="CP1083" s="25"/>
      <c r="CQ1083" s="25"/>
      <c r="CR1083" s="25"/>
      <c r="CS1083" s="25"/>
      <c r="CT1083" s="25"/>
      <c r="CU1083" s="25"/>
      <c r="CV1083" s="25"/>
      <c r="CW1083" s="25"/>
      <c r="CX1083" s="25"/>
      <c r="CY1083" s="25"/>
      <c r="CZ1083" s="25"/>
      <c r="DA1083" s="25"/>
      <c r="DB1083" s="25"/>
      <c r="DC1083" s="25"/>
      <c r="DD1083" s="25"/>
      <c r="DE1083" s="25"/>
      <c r="DF1083" s="25"/>
      <c r="DG1083" s="25"/>
      <c r="DH1083" s="25"/>
      <c r="DI1083" s="25"/>
      <c r="DJ1083" s="25"/>
      <c r="DK1083" s="25"/>
      <c r="DL1083" s="25"/>
      <c r="DM1083" s="25"/>
      <c r="DN1083" s="25"/>
      <c r="DO1083" s="25"/>
      <c r="DP1083" s="25"/>
      <c r="DQ1083" s="25"/>
      <c r="DR1083" s="25"/>
      <c r="DS1083" s="25"/>
      <c r="DT1083" s="25"/>
      <c r="DU1083" s="25"/>
      <c r="DV1083" s="25"/>
      <c r="DW1083" s="25"/>
      <c r="DX1083" s="25"/>
      <c r="DY1083" s="25"/>
      <c r="DZ1083" s="25"/>
      <c r="EA1083" s="25"/>
      <c r="EB1083" s="25"/>
      <c r="EC1083" s="25"/>
      <c r="ED1083" s="25"/>
      <c r="EE1083" s="25"/>
      <c r="EF1083" s="25"/>
      <c r="EG1083" s="25"/>
      <c r="EH1083" s="25"/>
      <c r="EI1083" s="25"/>
      <c r="EJ1083" s="25"/>
      <c r="EK1083" s="25"/>
      <c r="EL1083" s="25"/>
      <c r="EM1083" s="25"/>
      <c r="EN1083" s="25"/>
      <c r="EO1083" s="25"/>
      <c r="EP1083" s="25"/>
      <c r="EQ1083" s="25"/>
      <c r="ER1083" s="25"/>
      <c r="ES1083" s="25"/>
      <c r="ET1083" s="25"/>
      <c r="EU1083" s="25"/>
      <c r="EV1083" s="25"/>
      <c r="EW1083" s="25"/>
      <c r="EX1083" s="25"/>
      <c r="EY1083" s="25"/>
      <c r="EZ1083" s="25"/>
      <c r="FA1083" s="25"/>
      <c r="FB1083" s="25"/>
      <c r="FC1083" s="25"/>
      <c r="FD1083" s="25"/>
      <c r="FE1083" s="25"/>
      <c r="FF1083" s="25"/>
      <c r="FG1083" s="25"/>
      <c r="FH1083" s="25"/>
      <c r="FI1083" s="25"/>
      <c r="FJ1083" s="25"/>
      <c r="FK1083" s="25"/>
      <c r="FL1083" s="25"/>
      <c r="FM1083" s="25"/>
      <c r="FN1083" s="25"/>
      <c r="FO1083" s="25"/>
      <c r="FP1083" s="25"/>
      <c r="FQ1083" s="25"/>
      <c r="FR1083" s="25"/>
      <c r="FS1083" s="25"/>
      <c r="FT1083" s="25"/>
      <c r="FU1083" s="25"/>
      <c r="FV1083" s="28"/>
      <c r="FW1083" s="27"/>
      <c r="FX1083" s="27"/>
      <c r="FY1083" s="25"/>
      <c r="FZ1083" s="25"/>
      <c r="GA1083" s="25"/>
      <c r="GB1083" s="25"/>
      <c r="GC1083" s="25"/>
      <c r="GD1083" s="25"/>
      <c r="GE1083" s="25"/>
      <c r="GF1083" s="25"/>
      <c r="GG1083" s="25"/>
      <c r="GH1083" s="25"/>
      <c r="GI1083" s="25"/>
      <c r="GJ1083" s="25"/>
      <c r="GK1083" s="25"/>
      <c r="GL1083" s="25"/>
      <c r="GM1083" s="25"/>
      <c r="GN1083" s="25"/>
      <c r="GO1083" s="25"/>
      <c r="GP1083" s="25"/>
      <c r="GQ1083" s="25"/>
      <c r="GR1083" s="25"/>
      <c r="GS1083" s="25"/>
      <c r="GT1083" s="25"/>
      <c r="GU1083" s="25"/>
      <c r="GV1083" s="25"/>
      <c r="GW1083" s="25"/>
      <c r="GX1083" s="25"/>
      <c r="GY1083" s="25"/>
      <c r="GZ1083" s="25"/>
      <c r="HA1083" s="25"/>
      <c r="HB1083" s="25"/>
      <c r="HC1083" s="25"/>
      <c r="HD1083" s="25"/>
      <c r="HE1083" s="25"/>
      <c r="HF1083" s="25"/>
      <c r="HG1083" s="25"/>
      <c r="HH1083" s="25"/>
      <c r="HI1083" s="25"/>
      <c r="HJ1083" s="25"/>
      <c r="HK1083" s="25"/>
      <c r="HL1083" s="25"/>
    </row>
    <row r="1084" spans="1:220" ht="15.75" customHeight="1" x14ac:dyDescent="0.2">
      <c r="A1084" s="25"/>
      <c r="B1084" s="29"/>
      <c r="C1084" s="26"/>
      <c r="D1084" s="29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  <c r="BC1084" s="25"/>
      <c r="BD1084" s="25"/>
      <c r="BE1084" s="25"/>
      <c r="BF1084" s="25"/>
      <c r="BG1084" s="25"/>
      <c r="BH1084" s="25"/>
      <c r="BI1084" s="25"/>
      <c r="BJ1084" s="25"/>
      <c r="BK1084" s="25"/>
      <c r="BL1084" s="25"/>
      <c r="BM1084" s="25"/>
      <c r="BN1084" s="25"/>
      <c r="BO1084" s="25"/>
      <c r="BP1084" s="25"/>
      <c r="BQ1084" s="25"/>
      <c r="BR1084" s="25"/>
      <c r="BS1084" s="25"/>
      <c r="BT1084" s="25"/>
      <c r="BU1084" s="25"/>
      <c r="BV1084" s="25"/>
      <c r="BW1084" s="25"/>
      <c r="BX1084" s="25"/>
      <c r="BY1084" s="25"/>
      <c r="BZ1084" s="25"/>
      <c r="CA1084" s="25"/>
      <c r="CB1084" s="25"/>
      <c r="CC1084" s="25"/>
      <c r="CD1084" s="25"/>
      <c r="CE1084" s="25"/>
      <c r="CF1084" s="25"/>
      <c r="CG1084" s="25"/>
      <c r="CH1084" s="25"/>
      <c r="CI1084" s="25"/>
      <c r="CJ1084" s="25"/>
      <c r="CK1084" s="25"/>
      <c r="CL1084" s="25"/>
      <c r="CM1084" s="25"/>
      <c r="CN1084" s="25"/>
      <c r="CO1084" s="25"/>
      <c r="CP1084" s="25"/>
      <c r="CQ1084" s="25"/>
      <c r="CR1084" s="25"/>
      <c r="CS1084" s="25"/>
      <c r="CT1084" s="25"/>
      <c r="CU1084" s="25"/>
      <c r="CV1084" s="25"/>
      <c r="CW1084" s="25"/>
      <c r="CX1084" s="25"/>
      <c r="CY1084" s="25"/>
      <c r="CZ1084" s="25"/>
      <c r="DA1084" s="25"/>
      <c r="DB1084" s="25"/>
      <c r="DC1084" s="25"/>
      <c r="DD1084" s="25"/>
      <c r="DE1084" s="25"/>
      <c r="DF1084" s="25"/>
      <c r="DG1084" s="25"/>
      <c r="DH1084" s="25"/>
      <c r="DI1084" s="25"/>
      <c r="DJ1084" s="25"/>
      <c r="DK1084" s="25"/>
      <c r="DL1084" s="25"/>
      <c r="DM1084" s="25"/>
      <c r="DN1084" s="25"/>
      <c r="DO1084" s="25"/>
      <c r="DP1084" s="25"/>
      <c r="DQ1084" s="25"/>
      <c r="DR1084" s="25"/>
      <c r="DS1084" s="25"/>
      <c r="DT1084" s="25"/>
      <c r="DU1084" s="25"/>
      <c r="DV1084" s="25"/>
      <c r="DW1084" s="25"/>
      <c r="DX1084" s="25"/>
      <c r="DY1084" s="25"/>
      <c r="DZ1084" s="25"/>
      <c r="EA1084" s="25"/>
      <c r="EB1084" s="25"/>
      <c r="EC1084" s="25"/>
      <c r="ED1084" s="25"/>
      <c r="EE1084" s="25"/>
      <c r="EF1084" s="25"/>
      <c r="EG1084" s="25"/>
      <c r="EH1084" s="25"/>
      <c r="EI1084" s="25"/>
      <c r="EJ1084" s="25"/>
      <c r="EK1084" s="25"/>
      <c r="EL1084" s="25"/>
      <c r="EM1084" s="25"/>
      <c r="EN1084" s="25"/>
      <c r="EO1084" s="25"/>
      <c r="EP1084" s="25"/>
      <c r="EQ1084" s="25"/>
      <c r="ER1084" s="25"/>
      <c r="ES1084" s="25"/>
      <c r="ET1084" s="25"/>
      <c r="EU1084" s="25"/>
      <c r="EV1084" s="25"/>
      <c r="EW1084" s="25"/>
      <c r="EX1084" s="25"/>
      <c r="EY1084" s="25"/>
      <c r="EZ1084" s="25"/>
      <c r="FA1084" s="25"/>
      <c r="FB1084" s="25"/>
      <c r="FC1084" s="25"/>
      <c r="FD1084" s="25"/>
      <c r="FE1084" s="25"/>
      <c r="FF1084" s="25"/>
      <c r="FG1084" s="25"/>
      <c r="FH1084" s="25"/>
      <c r="FI1084" s="25"/>
      <c r="FJ1084" s="25"/>
      <c r="FK1084" s="25"/>
      <c r="FL1084" s="25"/>
      <c r="FM1084" s="25"/>
      <c r="FN1084" s="25"/>
      <c r="FO1084" s="25"/>
      <c r="FP1084" s="25"/>
      <c r="FQ1084" s="25"/>
      <c r="FR1084" s="25"/>
      <c r="FS1084" s="25"/>
      <c r="FT1084" s="25"/>
      <c r="FU1084" s="25"/>
      <c r="FV1084" s="28"/>
      <c r="FW1084" s="27"/>
      <c r="FX1084" s="27"/>
      <c r="FY1084" s="25"/>
      <c r="FZ1084" s="25"/>
      <c r="GA1084" s="25"/>
      <c r="GB1084" s="25"/>
      <c r="GC1084" s="25"/>
      <c r="GD1084" s="25"/>
      <c r="GE1084" s="25"/>
      <c r="GF1084" s="25"/>
      <c r="GG1084" s="25"/>
      <c r="GH1084" s="25"/>
      <c r="GI1084" s="25"/>
      <c r="GJ1084" s="25"/>
      <c r="GK1084" s="25"/>
      <c r="GL1084" s="25"/>
      <c r="GM1084" s="25"/>
      <c r="GN1084" s="25"/>
      <c r="GO1084" s="25"/>
      <c r="GP1084" s="25"/>
      <c r="GQ1084" s="25"/>
      <c r="GR1084" s="25"/>
      <c r="GS1084" s="25"/>
      <c r="GT1084" s="25"/>
      <c r="GU1084" s="25"/>
      <c r="GV1084" s="25"/>
      <c r="GW1084" s="25"/>
      <c r="GX1084" s="25"/>
      <c r="GY1084" s="25"/>
      <c r="GZ1084" s="25"/>
      <c r="HA1084" s="25"/>
      <c r="HB1084" s="25"/>
      <c r="HC1084" s="25"/>
      <c r="HD1084" s="25"/>
      <c r="HE1084" s="25"/>
      <c r="HF1084" s="25"/>
      <c r="HG1084" s="25"/>
      <c r="HH1084" s="25"/>
      <c r="HI1084" s="25"/>
      <c r="HJ1084" s="25"/>
      <c r="HK1084" s="25"/>
      <c r="HL1084" s="25"/>
    </row>
    <row r="1085" spans="1:220" ht="15.75" customHeight="1" x14ac:dyDescent="0.2">
      <c r="A1085" s="25"/>
      <c r="B1085" s="29"/>
      <c r="C1085" s="26"/>
      <c r="D1085" s="29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  <c r="BC1085" s="25"/>
      <c r="BD1085" s="25"/>
      <c r="BE1085" s="25"/>
      <c r="BF1085" s="25"/>
      <c r="BG1085" s="25"/>
      <c r="BH1085" s="25"/>
      <c r="BI1085" s="25"/>
      <c r="BJ1085" s="25"/>
      <c r="BK1085" s="25"/>
      <c r="BL1085" s="25"/>
      <c r="BM1085" s="25"/>
      <c r="BN1085" s="25"/>
      <c r="BO1085" s="25"/>
      <c r="BP1085" s="25"/>
      <c r="BQ1085" s="25"/>
      <c r="BR1085" s="25"/>
      <c r="BS1085" s="25"/>
      <c r="BT1085" s="25"/>
      <c r="BU1085" s="25"/>
      <c r="BV1085" s="25"/>
      <c r="BW1085" s="25"/>
      <c r="BX1085" s="25"/>
      <c r="BY1085" s="25"/>
      <c r="BZ1085" s="25"/>
      <c r="CA1085" s="25"/>
      <c r="CB1085" s="25"/>
      <c r="CC1085" s="25"/>
      <c r="CD1085" s="25"/>
      <c r="CE1085" s="25"/>
      <c r="CF1085" s="25"/>
      <c r="CG1085" s="25"/>
      <c r="CH1085" s="25"/>
      <c r="CI1085" s="25"/>
      <c r="CJ1085" s="25"/>
      <c r="CK1085" s="25"/>
      <c r="CL1085" s="25"/>
      <c r="CM1085" s="25"/>
      <c r="CN1085" s="25"/>
      <c r="CO1085" s="25"/>
      <c r="CP1085" s="25"/>
      <c r="CQ1085" s="25"/>
      <c r="CR1085" s="25"/>
      <c r="CS1085" s="25"/>
      <c r="CT1085" s="25"/>
      <c r="CU1085" s="25"/>
      <c r="CV1085" s="25"/>
      <c r="CW1085" s="25"/>
      <c r="CX1085" s="25"/>
      <c r="CY1085" s="25"/>
      <c r="CZ1085" s="25"/>
      <c r="DA1085" s="25"/>
      <c r="DB1085" s="25"/>
      <c r="DC1085" s="25"/>
      <c r="DD1085" s="25"/>
      <c r="DE1085" s="25"/>
      <c r="DF1085" s="25"/>
      <c r="DG1085" s="25"/>
      <c r="DH1085" s="25"/>
      <c r="DI1085" s="25"/>
      <c r="DJ1085" s="25"/>
      <c r="DK1085" s="25"/>
      <c r="DL1085" s="25"/>
      <c r="DM1085" s="25"/>
      <c r="DN1085" s="25"/>
      <c r="DO1085" s="25"/>
      <c r="DP1085" s="25"/>
      <c r="DQ1085" s="25"/>
      <c r="DR1085" s="25"/>
      <c r="DS1085" s="25"/>
      <c r="DT1085" s="25"/>
      <c r="DU1085" s="25"/>
      <c r="DV1085" s="25"/>
      <c r="DW1085" s="25"/>
      <c r="DX1085" s="25"/>
      <c r="DY1085" s="25"/>
      <c r="DZ1085" s="25"/>
      <c r="EA1085" s="25"/>
      <c r="EB1085" s="25"/>
      <c r="EC1085" s="25"/>
      <c r="ED1085" s="25"/>
      <c r="EE1085" s="25"/>
      <c r="EF1085" s="25"/>
      <c r="EG1085" s="25"/>
      <c r="EH1085" s="25"/>
      <c r="EI1085" s="25"/>
      <c r="EJ1085" s="25"/>
      <c r="EK1085" s="25"/>
      <c r="EL1085" s="25"/>
      <c r="EM1085" s="25"/>
      <c r="EN1085" s="25"/>
      <c r="EO1085" s="25"/>
      <c r="EP1085" s="25"/>
      <c r="EQ1085" s="25"/>
      <c r="ER1085" s="25"/>
      <c r="ES1085" s="25"/>
      <c r="ET1085" s="25"/>
      <c r="EU1085" s="25"/>
      <c r="EV1085" s="25"/>
      <c r="EW1085" s="25"/>
      <c r="EX1085" s="25"/>
      <c r="EY1085" s="25"/>
      <c r="EZ1085" s="25"/>
      <c r="FA1085" s="25"/>
      <c r="FB1085" s="25"/>
      <c r="FC1085" s="25"/>
      <c r="FD1085" s="25"/>
      <c r="FE1085" s="25"/>
      <c r="FF1085" s="25"/>
      <c r="FG1085" s="25"/>
      <c r="FH1085" s="25"/>
      <c r="FI1085" s="25"/>
      <c r="FJ1085" s="25"/>
      <c r="FK1085" s="25"/>
      <c r="FL1085" s="25"/>
      <c r="FM1085" s="25"/>
      <c r="FN1085" s="25"/>
      <c r="FO1085" s="25"/>
      <c r="FP1085" s="25"/>
      <c r="FQ1085" s="25"/>
      <c r="FR1085" s="25"/>
      <c r="FS1085" s="25"/>
      <c r="FT1085" s="25"/>
      <c r="FU1085" s="25"/>
      <c r="FV1085" s="28"/>
      <c r="FW1085" s="27"/>
      <c r="FX1085" s="27"/>
      <c r="FY1085" s="25"/>
      <c r="FZ1085" s="25"/>
      <c r="GA1085" s="25"/>
      <c r="GB1085" s="25"/>
      <c r="GC1085" s="25"/>
      <c r="GD1085" s="25"/>
      <c r="GE1085" s="25"/>
      <c r="GF1085" s="25"/>
      <c r="GG1085" s="25"/>
      <c r="GH1085" s="25"/>
      <c r="GI1085" s="25"/>
      <c r="GJ1085" s="25"/>
      <c r="GK1085" s="25"/>
      <c r="GL1085" s="25"/>
      <c r="GM1085" s="25"/>
      <c r="GN1085" s="25"/>
      <c r="GO1085" s="25"/>
      <c r="GP1085" s="25"/>
      <c r="GQ1085" s="25"/>
      <c r="GR1085" s="25"/>
      <c r="GS1085" s="25"/>
      <c r="GT1085" s="25"/>
      <c r="GU1085" s="25"/>
      <c r="GV1085" s="25"/>
      <c r="GW1085" s="25"/>
      <c r="GX1085" s="25"/>
      <c r="GY1085" s="25"/>
      <c r="GZ1085" s="25"/>
      <c r="HA1085" s="25"/>
      <c r="HB1085" s="25"/>
      <c r="HC1085" s="25"/>
      <c r="HD1085" s="25"/>
      <c r="HE1085" s="25"/>
      <c r="HF1085" s="25"/>
      <c r="HG1085" s="25"/>
      <c r="HH1085" s="25"/>
      <c r="HI1085" s="25"/>
      <c r="HJ1085" s="25"/>
      <c r="HK1085" s="25"/>
      <c r="HL1085" s="25"/>
    </row>
    <row r="1086" spans="1:220" ht="15.75" customHeight="1" x14ac:dyDescent="0.2">
      <c r="A1086" s="25"/>
      <c r="B1086" s="29"/>
      <c r="C1086" s="26"/>
      <c r="D1086" s="29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  <c r="BH1086" s="25"/>
      <c r="BI1086" s="25"/>
      <c r="BJ1086" s="25"/>
      <c r="BK1086" s="25"/>
      <c r="BL1086" s="25"/>
      <c r="BM1086" s="25"/>
      <c r="BN1086" s="25"/>
      <c r="BO1086" s="25"/>
      <c r="BP1086" s="25"/>
      <c r="BQ1086" s="25"/>
      <c r="BR1086" s="25"/>
      <c r="BS1086" s="25"/>
      <c r="BT1086" s="25"/>
      <c r="BU1086" s="25"/>
      <c r="BV1086" s="25"/>
      <c r="BW1086" s="25"/>
      <c r="BX1086" s="25"/>
      <c r="BY1086" s="25"/>
      <c r="BZ1086" s="25"/>
      <c r="CA1086" s="25"/>
      <c r="CB1086" s="25"/>
      <c r="CC1086" s="25"/>
      <c r="CD1086" s="25"/>
      <c r="CE1086" s="25"/>
      <c r="CF1086" s="25"/>
      <c r="CG1086" s="25"/>
      <c r="CH1086" s="25"/>
      <c r="CI1086" s="25"/>
      <c r="CJ1086" s="25"/>
      <c r="CK1086" s="25"/>
      <c r="CL1086" s="25"/>
      <c r="CM1086" s="25"/>
      <c r="CN1086" s="25"/>
      <c r="CO1086" s="25"/>
      <c r="CP1086" s="25"/>
      <c r="CQ1086" s="25"/>
      <c r="CR1086" s="25"/>
      <c r="CS1086" s="25"/>
      <c r="CT1086" s="25"/>
      <c r="CU1086" s="25"/>
      <c r="CV1086" s="25"/>
      <c r="CW1086" s="25"/>
      <c r="CX1086" s="25"/>
      <c r="CY1086" s="25"/>
      <c r="CZ1086" s="25"/>
      <c r="DA1086" s="25"/>
      <c r="DB1086" s="25"/>
      <c r="DC1086" s="25"/>
      <c r="DD1086" s="25"/>
      <c r="DE1086" s="25"/>
      <c r="DF1086" s="25"/>
      <c r="DG1086" s="25"/>
      <c r="DH1086" s="25"/>
      <c r="DI1086" s="25"/>
      <c r="DJ1086" s="25"/>
      <c r="DK1086" s="25"/>
      <c r="DL1086" s="25"/>
      <c r="DM1086" s="25"/>
      <c r="DN1086" s="25"/>
      <c r="DO1086" s="25"/>
      <c r="DP1086" s="25"/>
      <c r="DQ1086" s="25"/>
      <c r="DR1086" s="25"/>
      <c r="DS1086" s="25"/>
      <c r="DT1086" s="25"/>
      <c r="DU1086" s="25"/>
      <c r="DV1086" s="25"/>
      <c r="DW1086" s="25"/>
      <c r="DX1086" s="25"/>
      <c r="DY1086" s="25"/>
      <c r="DZ1086" s="25"/>
      <c r="EA1086" s="25"/>
      <c r="EB1086" s="25"/>
      <c r="EC1086" s="25"/>
      <c r="ED1086" s="25"/>
      <c r="EE1086" s="25"/>
      <c r="EF1086" s="25"/>
      <c r="EG1086" s="25"/>
      <c r="EH1086" s="25"/>
      <c r="EI1086" s="25"/>
      <c r="EJ1086" s="25"/>
      <c r="EK1086" s="25"/>
      <c r="EL1086" s="25"/>
      <c r="EM1086" s="25"/>
      <c r="EN1086" s="25"/>
      <c r="EO1086" s="25"/>
      <c r="EP1086" s="25"/>
      <c r="EQ1086" s="25"/>
      <c r="ER1086" s="25"/>
      <c r="ES1086" s="25"/>
      <c r="ET1086" s="25"/>
      <c r="EU1086" s="25"/>
      <c r="EV1086" s="25"/>
      <c r="EW1086" s="25"/>
      <c r="EX1086" s="25"/>
      <c r="EY1086" s="25"/>
      <c r="EZ1086" s="25"/>
      <c r="FA1086" s="25"/>
      <c r="FB1086" s="25"/>
      <c r="FC1086" s="25"/>
      <c r="FD1086" s="25"/>
      <c r="FE1086" s="25"/>
      <c r="FF1086" s="25"/>
      <c r="FG1086" s="25"/>
      <c r="FH1086" s="25"/>
      <c r="FI1086" s="25"/>
      <c r="FJ1086" s="25"/>
      <c r="FK1086" s="25"/>
      <c r="FL1086" s="25"/>
      <c r="FM1086" s="25"/>
      <c r="FN1086" s="25"/>
      <c r="FO1086" s="25"/>
      <c r="FP1086" s="25"/>
      <c r="FQ1086" s="25"/>
      <c r="FR1086" s="25"/>
      <c r="FS1086" s="25"/>
      <c r="FT1086" s="25"/>
      <c r="FU1086" s="25"/>
      <c r="FV1086" s="28"/>
      <c r="FW1086" s="27"/>
      <c r="FX1086" s="27"/>
      <c r="FY1086" s="25"/>
      <c r="FZ1086" s="25"/>
      <c r="GA1086" s="25"/>
      <c r="GB1086" s="25"/>
      <c r="GC1086" s="25"/>
      <c r="GD1086" s="25"/>
      <c r="GE1086" s="25"/>
      <c r="GF1086" s="25"/>
      <c r="GG1086" s="25"/>
      <c r="GH1086" s="25"/>
      <c r="GI1086" s="25"/>
      <c r="GJ1086" s="25"/>
      <c r="GK1086" s="25"/>
      <c r="GL1086" s="25"/>
      <c r="GM1086" s="25"/>
      <c r="GN1086" s="25"/>
      <c r="GO1086" s="25"/>
      <c r="GP1086" s="25"/>
      <c r="GQ1086" s="25"/>
      <c r="GR1086" s="25"/>
      <c r="GS1086" s="25"/>
      <c r="GT1086" s="25"/>
      <c r="GU1086" s="25"/>
      <c r="GV1086" s="25"/>
      <c r="GW1086" s="25"/>
      <c r="GX1086" s="25"/>
      <c r="GY1086" s="25"/>
      <c r="GZ1086" s="25"/>
      <c r="HA1086" s="25"/>
      <c r="HB1086" s="25"/>
      <c r="HC1086" s="25"/>
      <c r="HD1086" s="25"/>
      <c r="HE1086" s="25"/>
      <c r="HF1086" s="25"/>
      <c r="HG1086" s="25"/>
      <c r="HH1086" s="25"/>
      <c r="HI1086" s="25"/>
      <c r="HJ1086" s="25"/>
      <c r="HK1086" s="25"/>
      <c r="HL1086" s="25"/>
    </row>
    <row r="1087" spans="1:220" ht="15.75" customHeight="1" x14ac:dyDescent="0.2">
      <c r="A1087" s="25"/>
      <c r="B1087" s="29"/>
      <c r="C1087" s="26"/>
      <c r="D1087" s="29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  <c r="BH1087" s="25"/>
      <c r="BI1087" s="25"/>
      <c r="BJ1087" s="25"/>
      <c r="BK1087" s="25"/>
      <c r="BL1087" s="25"/>
      <c r="BM1087" s="25"/>
      <c r="BN1087" s="25"/>
      <c r="BO1087" s="25"/>
      <c r="BP1087" s="25"/>
      <c r="BQ1087" s="25"/>
      <c r="BR1087" s="25"/>
      <c r="BS1087" s="25"/>
      <c r="BT1087" s="25"/>
      <c r="BU1087" s="25"/>
      <c r="BV1087" s="25"/>
      <c r="BW1087" s="25"/>
      <c r="BX1087" s="25"/>
      <c r="BY1087" s="25"/>
      <c r="BZ1087" s="25"/>
      <c r="CA1087" s="25"/>
      <c r="CB1087" s="25"/>
      <c r="CC1087" s="25"/>
      <c r="CD1087" s="25"/>
      <c r="CE1087" s="25"/>
      <c r="CF1087" s="25"/>
      <c r="CG1087" s="25"/>
      <c r="CH1087" s="25"/>
      <c r="CI1087" s="25"/>
      <c r="CJ1087" s="25"/>
      <c r="CK1087" s="25"/>
      <c r="CL1087" s="25"/>
      <c r="CM1087" s="25"/>
      <c r="CN1087" s="25"/>
      <c r="CO1087" s="25"/>
      <c r="CP1087" s="25"/>
      <c r="CQ1087" s="25"/>
      <c r="CR1087" s="25"/>
      <c r="CS1087" s="25"/>
      <c r="CT1087" s="25"/>
      <c r="CU1087" s="25"/>
      <c r="CV1087" s="25"/>
      <c r="CW1087" s="25"/>
      <c r="CX1087" s="25"/>
      <c r="CY1087" s="25"/>
      <c r="CZ1087" s="25"/>
      <c r="DA1087" s="25"/>
      <c r="DB1087" s="25"/>
      <c r="DC1087" s="25"/>
      <c r="DD1087" s="25"/>
      <c r="DE1087" s="25"/>
      <c r="DF1087" s="25"/>
      <c r="DG1087" s="25"/>
      <c r="DH1087" s="25"/>
      <c r="DI1087" s="25"/>
      <c r="DJ1087" s="25"/>
      <c r="DK1087" s="25"/>
      <c r="DL1087" s="25"/>
      <c r="DM1087" s="25"/>
      <c r="DN1087" s="25"/>
      <c r="DO1087" s="25"/>
      <c r="DP1087" s="25"/>
      <c r="DQ1087" s="25"/>
      <c r="DR1087" s="25"/>
      <c r="DS1087" s="25"/>
      <c r="DT1087" s="25"/>
      <c r="DU1087" s="25"/>
      <c r="DV1087" s="25"/>
      <c r="DW1087" s="25"/>
      <c r="DX1087" s="25"/>
      <c r="DY1087" s="25"/>
      <c r="DZ1087" s="25"/>
      <c r="EA1087" s="25"/>
      <c r="EB1087" s="25"/>
      <c r="EC1087" s="25"/>
      <c r="ED1087" s="25"/>
      <c r="EE1087" s="25"/>
      <c r="EF1087" s="25"/>
      <c r="EG1087" s="25"/>
      <c r="EH1087" s="25"/>
      <c r="EI1087" s="25"/>
      <c r="EJ1087" s="25"/>
      <c r="EK1087" s="25"/>
      <c r="EL1087" s="25"/>
      <c r="EM1087" s="25"/>
      <c r="EN1087" s="25"/>
      <c r="EO1087" s="25"/>
      <c r="EP1087" s="25"/>
      <c r="EQ1087" s="25"/>
      <c r="ER1087" s="25"/>
      <c r="ES1087" s="25"/>
      <c r="ET1087" s="25"/>
      <c r="EU1087" s="25"/>
      <c r="EV1087" s="25"/>
      <c r="EW1087" s="25"/>
      <c r="EX1087" s="25"/>
      <c r="EY1087" s="25"/>
      <c r="EZ1087" s="25"/>
      <c r="FA1087" s="25"/>
      <c r="FB1087" s="25"/>
      <c r="FC1087" s="25"/>
      <c r="FD1087" s="25"/>
      <c r="FE1087" s="25"/>
      <c r="FF1087" s="25"/>
      <c r="FG1087" s="25"/>
      <c r="FH1087" s="25"/>
      <c r="FI1087" s="25"/>
      <c r="FJ1087" s="25"/>
      <c r="FK1087" s="25"/>
      <c r="FL1087" s="25"/>
      <c r="FM1087" s="25"/>
      <c r="FN1087" s="25"/>
      <c r="FO1087" s="25"/>
      <c r="FP1087" s="25"/>
      <c r="FQ1087" s="25"/>
      <c r="FR1087" s="25"/>
      <c r="FS1087" s="25"/>
      <c r="FT1087" s="25"/>
      <c r="FU1087" s="25"/>
      <c r="FV1087" s="28"/>
      <c r="FW1087" s="27"/>
      <c r="FX1087" s="27"/>
      <c r="FY1087" s="25"/>
      <c r="FZ1087" s="25"/>
      <c r="GA1087" s="25"/>
      <c r="GB1087" s="25"/>
      <c r="GC1087" s="25"/>
      <c r="GD1087" s="25"/>
      <c r="GE1087" s="25"/>
      <c r="GF1087" s="25"/>
      <c r="GG1087" s="25"/>
      <c r="GH1087" s="25"/>
      <c r="GI1087" s="25"/>
      <c r="GJ1087" s="25"/>
      <c r="GK1087" s="25"/>
      <c r="GL1087" s="25"/>
      <c r="GM1087" s="25"/>
      <c r="GN1087" s="25"/>
      <c r="GO1087" s="25"/>
      <c r="GP1087" s="25"/>
      <c r="GQ1087" s="25"/>
      <c r="GR1087" s="25"/>
      <c r="GS1087" s="25"/>
      <c r="GT1087" s="25"/>
      <c r="GU1087" s="25"/>
      <c r="GV1087" s="25"/>
      <c r="GW1087" s="25"/>
      <c r="GX1087" s="25"/>
      <c r="GY1087" s="25"/>
      <c r="GZ1087" s="25"/>
      <c r="HA1087" s="25"/>
      <c r="HB1087" s="25"/>
      <c r="HC1087" s="25"/>
      <c r="HD1087" s="25"/>
      <c r="HE1087" s="25"/>
      <c r="HF1087" s="25"/>
      <c r="HG1087" s="25"/>
      <c r="HH1087" s="25"/>
      <c r="HI1087" s="25"/>
      <c r="HJ1087" s="25"/>
      <c r="HK1087" s="25"/>
      <c r="HL1087" s="25"/>
    </row>
    <row r="1088" spans="1:220" ht="15.75" customHeight="1" x14ac:dyDescent="0.2">
      <c r="A1088" s="25"/>
      <c r="B1088" s="29"/>
      <c r="C1088" s="26"/>
      <c r="D1088" s="29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  <c r="BC1088" s="25"/>
      <c r="BD1088" s="25"/>
      <c r="BE1088" s="25"/>
      <c r="BF1088" s="25"/>
      <c r="BG1088" s="25"/>
      <c r="BH1088" s="25"/>
      <c r="BI1088" s="25"/>
      <c r="BJ1088" s="25"/>
      <c r="BK1088" s="25"/>
      <c r="BL1088" s="25"/>
      <c r="BM1088" s="25"/>
      <c r="BN1088" s="25"/>
      <c r="BO1088" s="25"/>
      <c r="BP1088" s="25"/>
      <c r="BQ1088" s="25"/>
      <c r="BR1088" s="25"/>
      <c r="BS1088" s="25"/>
      <c r="BT1088" s="25"/>
      <c r="BU1088" s="25"/>
      <c r="BV1088" s="25"/>
      <c r="BW1088" s="25"/>
      <c r="BX1088" s="25"/>
      <c r="BY1088" s="25"/>
      <c r="BZ1088" s="25"/>
      <c r="CA1088" s="25"/>
      <c r="CB1088" s="25"/>
      <c r="CC1088" s="25"/>
      <c r="CD1088" s="25"/>
      <c r="CE1088" s="25"/>
      <c r="CF1088" s="25"/>
      <c r="CG1088" s="25"/>
      <c r="CH1088" s="25"/>
      <c r="CI1088" s="25"/>
      <c r="CJ1088" s="25"/>
      <c r="CK1088" s="25"/>
      <c r="CL1088" s="25"/>
      <c r="CM1088" s="25"/>
      <c r="CN1088" s="25"/>
      <c r="CO1088" s="25"/>
      <c r="CP1088" s="25"/>
      <c r="CQ1088" s="25"/>
      <c r="CR1088" s="25"/>
      <c r="CS1088" s="25"/>
      <c r="CT1088" s="25"/>
      <c r="CU1088" s="25"/>
      <c r="CV1088" s="25"/>
      <c r="CW1088" s="25"/>
      <c r="CX1088" s="25"/>
      <c r="CY1088" s="25"/>
      <c r="CZ1088" s="25"/>
      <c r="DA1088" s="25"/>
      <c r="DB1088" s="25"/>
      <c r="DC1088" s="25"/>
      <c r="DD1088" s="25"/>
      <c r="DE1088" s="25"/>
      <c r="DF1088" s="25"/>
      <c r="DG1088" s="25"/>
      <c r="DH1088" s="25"/>
      <c r="DI1088" s="25"/>
      <c r="DJ1088" s="25"/>
      <c r="DK1088" s="25"/>
      <c r="DL1088" s="25"/>
      <c r="DM1088" s="25"/>
      <c r="DN1088" s="25"/>
      <c r="DO1088" s="25"/>
      <c r="DP1088" s="25"/>
      <c r="DQ1088" s="25"/>
      <c r="DR1088" s="25"/>
      <c r="DS1088" s="25"/>
      <c r="DT1088" s="25"/>
      <c r="DU1088" s="25"/>
      <c r="DV1088" s="25"/>
      <c r="DW1088" s="25"/>
      <c r="DX1088" s="25"/>
      <c r="DY1088" s="25"/>
      <c r="DZ1088" s="25"/>
      <c r="EA1088" s="25"/>
      <c r="EB1088" s="25"/>
      <c r="EC1088" s="25"/>
      <c r="ED1088" s="25"/>
      <c r="EE1088" s="25"/>
      <c r="EF1088" s="25"/>
      <c r="EG1088" s="25"/>
      <c r="EH1088" s="25"/>
      <c r="EI1088" s="25"/>
      <c r="EJ1088" s="25"/>
      <c r="EK1088" s="25"/>
      <c r="EL1088" s="25"/>
      <c r="EM1088" s="25"/>
      <c r="EN1088" s="25"/>
      <c r="EO1088" s="25"/>
      <c r="EP1088" s="25"/>
      <c r="EQ1088" s="25"/>
      <c r="ER1088" s="25"/>
      <c r="ES1088" s="25"/>
      <c r="ET1088" s="25"/>
      <c r="EU1088" s="25"/>
      <c r="EV1088" s="25"/>
      <c r="EW1088" s="25"/>
      <c r="EX1088" s="25"/>
      <c r="EY1088" s="25"/>
      <c r="EZ1088" s="25"/>
      <c r="FA1088" s="25"/>
      <c r="FB1088" s="25"/>
      <c r="FC1088" s="25"/>
      <c r="FD1088" s="25"/>
      <c r="FE1088" s="25"/>
      <c r="FF1088" s="25"/>
      <c r="FG1088" s="25"/>
      <c r="FH1088" s="25"/>
      <c r="FI1088" s="25"/>
      <c r="FJ1088" s="25"/>
      <c r="FK1088" s="25"/>
      <c r="FL1088" s="25"/>
      <c r="FM1088" s="25"/>
      <c r="FN1088" s="25"/>
      <c r="FO1088" s="25"/>
      <c r="FP1088" s="25"/>
      <c r="FQ1088" s="25"/>
      <c r="FR1088" s="25"/>
      <c r="FS1088" s="25"/>
      <c r="FT1088" s="25"/>
      <c r="FU1088" s="25"/>
      <c r="FV1088" s="28"/>
      <c r="FW1088" s="27"/>
      <c r="FX1088" s="27"/>
      <c r="FY1088" s="25"/>
      <c r="FZ1088" s="25"/>
      <c r="GA1088" s="25"/>
      <c r="GB1088" s="25"/>
      <c r="GC1088" s="25"/>
      <c r="GD1088" s="25"/>
      <c r="GE1088" s="25"/>
      <c r="GF1088" s="25"/>
      <c r="GG1088" s="25"/>
      <c r="GH1088" s="25"/>
      <c r="GI1088" s="25"/>
      <c r="GJ1088" s="25"/>
      <c r="GK1088" s="25"/>
      <c r="GL1088" s="25"/>
      <c r="GM1088" s="25"/>
      <c r="GN1088" s="25"/>
      <c r="GO1088" s="25"/>
      <c r="GP1088" s="25"/>
      <c r="GQ1088" s="25"/>
      <c r="GR1088" s="25"/>
      <c r="GS1088" s="25"/>
      <c r="GT1088" s="25"/>
      <c r="GU1088" s="25"/>
      <c r="GV1088" s="25"/>
      <c r="GW1088" s="25"/>
      <c r="GX1088" s="25"/>
      <c r="GY1088" s="25"/>
      <c r="GZ1088" s="25"/>
      <c r="HA1088" s="25"/>
      <c r="HB1088" s="25"/>
      <c r="HC1088" s="25"/>
      <c r="HD1088" s="25"/>
      <c r="HE1088" s="25"/>
      <c r="HF1088" s="25"/>
      <c r="HG1088" s="25"/>
      <c r="HH1088" s="25"/>
      <c r="HI1088" s="25"/>
      <c r="HJ1088" s="25"/>
      <c r="HK1088" s="25"/>
      <c r="HL1088" s="25"/>
    </row>
    <row r="1089" spans="1:220" ht="15.75" customHeight="1" x14ac:dyDescent="0.2">
      <c r="A1089" s="25"/>
      <c r="B1089" s="29"/>
      <c r="C1089" s="26"/>
      <c r="D1089" s="29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  <c r="BC1089" s="25"/>
      <c r="BD1089" s="25"/>
      <c r="BE1089" s="25"/>
      <c r="BF1089" s="25"/>
      <c r="BG1089" s="25"/>
      <c r="BH1089" s="25"/>
      <c r="BI1089" s="25"/>
      <c r="BJ1089" s="25"/>
      <c r="BK1089" s="25"/>
      <c r="BL1089" s="25"/>
      <c r="BM1089" s="25"/>
      <c r="BN1089" s="25"/>
      <c r="BO1089" s="25"/>
      <c r="BP1089" s="25"/>
      <c r="BQ1089" s="25"/>
      <c r="BR1089" s="25"/>
      <c r="BS1089" s="25"/>
      <c r="BT1089" s="25"/>
      <c r="BU1089" s="25"/>
      <c r="BV1089" s="25"/>
      <c r="BW1089" s="25"/>
      <c r="BX1089" s="25"/>
      <c r="BY1089" s="25"/>
      <c r="BZ1089" s="25"/>
      <c r="CA1089" s="25"/>
      <c r="CB1089" s="25"/>
      <c r="CC1089" s="25"/>
      <c r="CD1089" s="25"/>
      <c r="CE1089" s="25"/>
      <c r="CF1089" s="25"/>
      <c r="CG1089" s="25"/>
      <c r="CH1089" s="25"/>
      <c r="CI1089" s="25"/>
      <c r="CJ1089" s="25"/>
      <c r="CK1089" s="25"/>
      <c r="CL1089" s="25"/>
      <c r="CM1089" s="25"/>
      <c r="CN1089" s="25"/>
      <c r="CO1089" s="25"/>
      <c r="CP1089" s="25"/>
      <c r="CQ1089" s="25"/>
      <c r="CR1089" s="25"/>
      <c r="CS1089" s="25"/>
      <c r="CT1089" s="25"/>
      <c r="CU1089" s="25"/>
      <c r="CV1089" s="25"/>
      <c r="CW1089" s="25"/>
      <c r="CX1089" s="25"/>
      <c r="CY1089" s="25"/>
      <c r="CZ1089" s="25"/>
      <c r="DA1089" s="25"/>
      <c r="DB1089" s="25"/>
      <c r="DC1089" s="25"/>
      <c r="DD1089" s="25"/>
      <c r="DE1089" s="25"/>
      <c r="DF1089" s="25"/>
      <c r="DG1089" s="25"/>
      <c r="DH1089" s="25"/>
      <c r="DI1089" s="25"/>
      <c r="DJ1089" s="25"/>
      <c r="DK1089" s="25"/>
      <c r="DL1089" s="25"/>
      <c r="DM1089" s="25"/>
      <c r="DN1089" s="25"/>
      <c r="DO1089" s="25"/>
      <c r="DP1089" s="25"/>
      <c r="DQ1089" s="25"/>
      <c r="DR1089" s="25"/>
      <c r="DS1089" s="25"/>
      <c r="DT1089" s="25"/>
      <c r="DU1089" s="25"/>
      <c r="DV1089" s="25"/>
      <c r="DW1089" s="25"/>
      <c r="DX1089" s="25"/>
      <c r="DY1089" s="25"/>
      <c r="DZ1089" s="25"/>
      <c r="EA1089" s="25"/>
      <c r="EB1089" s="25"/>
      <c r="EC1089" s="25"/>
      <c r="ED1089" s="25"/>
      <c r="EE1089" s="25"/>
      <c r="EF1089" s="25"/>
      <c r="EG1089" s="25"/>
      <c r="EH1089" s="25"/>
      <c r="EI1089" s="25"/>
      <c r="EJ1089" s="25"/>
      <c r="EK1089" s="25"/>
      <c r="EL1089" s="25"/>
      <c r="EM1089" s="25"/>
      <c r="EN1089" s="25"/>
      <c r="EO1089" s="25"/>
      <c r="EP1089" s="25"/>
      <c r="EQ1089" s="25"/>
      <c r="ER1089" s="25"/>
      <c r="ES1089" s="25"/>
      <c r="ET1089" s="25"/>
      <c r="EU1089" s="25"/>
      <c r="EV1089" s="25"/>
      <c r="EW1089" s="25"/>
      <c r="EX1089" s="25"/>
      <c r="EY1089" s="25"/>
      <c r="EZ1089" s="25"/>
      <c r="FA1089" s="25"/>
      <c r="FB1089" s="25"/>
      <c r="FC1089" s="25"/>
      <c r="FD1089" s="25"/>
      <c r="FE1089" s="25"/>
      <c r="FF1089" s="25"/>
      <c r="FG1089" s="25"/>
      <c r="FH1089" s="25"/>
      <c r="FI1089" s="25"/>
      <c r="FJ1089" s="25"/>
      <c r="FK1089" s="25"/>
      <c r="FL1089" s="25"/>
      <c r="FM1089" s="25"/>
      <c r="FN1089" s="25"/>
      <c r="FO1089" s="25"/>
      <c r="FP1089" s="25"/>
      <c r="FQ1089" s="25"/>
      <c r="FR1089" s="25"/>
      <c r="FS1089" s="25"/>
      <c r="FT1089" s="25"/>
      <c r="FU1089" s="25"/>
      <c r="FV1089" s="28"/>
      <c r="FW1089" s="27"/>
      <c r="FX1089" s="27"/>
      <c r="FY1089" s="25"/>
      <c r="FZ1089" s="25"/>
      <c r="GA1089" s="25"/>
      <c r="GB1089" s="25"/>
      <c r="GC1089" s="25"/>
      <c r="GD1089" s="25"/>
      <c r="GE1089" s="25"/>
      <c r="GF1089" s="25"/>
      <c r="GG1089" s="25"/>
      <c r="GH1089" s="25"/>
      <c r="GI1089" s="25"/>
      <c r="GJ1089" s="25"/>
      <c r="GK1089" s="25"/>
      <c r="GL1089" s="25"/>
      <c r="GM1089" s="25"/>
      <c r="GN1089" s="25"/>
      <c r="GO1089" s="25"/>
      <c r="GP1089" s="25"/>
      <c r="GQ1089" s="25"/>
      <c r="GR1089" s="25"/>
      <c r="GS1089" s="25"/>
      <c r="GT1089" s="25"/>
      <c r="GU1089" s="25"/>
      <c r="GV1089" s="25"/>
      <c r="GW1089" s="25"/>
      <c r="GX1089" s="25"/>
      <c r="GY1089" s="25"/>
      <c r="GZ1089" s="25"/>
      <c r="HA1089" s="25"/>
      <c r="HB1089" s="25"/>
      <c r="HC1089" s="25"/>
      <c r="HD1089" s="25"/>
      <c r="HE1089" s="25"/>
      <c r="HF1089" s="25"/>
      <c r="HG1089" s="25"/>
      <c r="HH1089" s="25"/>
      <c r="HI1089" s="25"/>
      <c r="HJ1089" s="25"/>
      <c r="HK1089" s="25"/>
      <c r="HL1089" s="25"/>
    </row>
    <row r="1090" spans="1:220" ht="15.75" customHeight="1" x14ac:dyDescent="0.2">
      <c r="A1090" s="25"/>
      <c r="B1090" s="29"/>
      <c r="C1090" s="26"/>
      <c r="D1090" s="29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  <c r="BH1090" s="25"/>
      <c r="BI1090" s="25"/>
      <c r="BJ1090" s="25"/>
      <c r="BK1090" s="25"/>
      <c r="BL1090" s="25"/>
      <c r="BM1090" s="25"/>
      <c r="BN1090" s="25"/>
      <c r="BO1090" s="25"/>
      <c r="BP1090" s="25"/>
      <c r="BQ1090" s="25"/>
      <c r="BR1090" s="25"/>
      <c r="BS1090" s="25"/>
      <c r="BT1090" s="25"/>
      <c r="BU1090" s="25"/>
      <c r="BV1090" s="25"/>
      <c r="BW1090" s="25"/>
      <c r="BX1090" s="25"/>
      <c r="BY1090" s="25"/>
      <c r="BZ1090" s="25"/>
      <c r="CA1090" s="25"/>
      <c r="CB1090" s="25"/>
      <c r="CC1090" s="25"/>
      <c r="CD1090" s="25"/>
      <c r="CE1090" s="25"/>
      <c r="CF1090" s="25"/>
      <c r="CG1090" s="25"/>
      <c r="CH1090" s="25"/>
      <c r="CI1090" s="25"/>
      <c r="CJ1090" s="25"/>
      <c r="CK1090" s="25"/>
      <c r="CL1090" s="25"/>
      <c r="CM1090" s="25"/>
      <c r="CN1090" s="25"/>
      <c r="CO1090" s="25"/>
      <c r="CP1090" s="25"/>
      <c r="CQ1090" s="25"/>
      <c r="CR1090" s="25"/>
      <c r="CS1090" s="25"/>
      <c r="CT1090" s="25"/>
      <c r="CU1090" s="25"/>
      <c r="CV1090" s="25"/>
      <c r="CW1090" s="25"/>
      <c r="CX1090" s="25"/>
      <c r="CY1090" s="25"/>
      <c r="CZ1090" s="25"/>
      <c r="DA1090" s="25"/>
      <c r="DB1090" s="25"/>
      <c r="DC1090" s="25"/>
      <c r="DD1090" s="25"/>
      <c r="DE1090" s="25"/>
      <c r="DF1090" s="25"/>
      <c r="DG1090" s="25"/>
      <c r="DH1090" s="25"/>
      <c r="DI1090" s="25"/>
      <c r="DJ1090" s="25"/>
      <c r="DK1090" s="25"/>
      <c r="DL1090" s="25"/>
      <c r="DM1090" s="25"/>
      <c r="DN1090" s="25"/>
      <c r="DO1090" s="25"/>
      <c r="DP1090" s="25"/>
      <c r="DQ1090" s="25"/>
      <c r="DR1090" s="25"/>
      <c r="DS1090" s="25"/>
      <c r="DT1090" s="25"/>
      <c r="DU1090" s="25"/>
      <c r="DV1090" s="25"/>
      <c r="DW1090" s="25"/>
      <c r="DX1090" s="25"/>
      <c r="DY1090" s="25"/>
      <c r="DZ1090" s="25"/>
      <c r="EA1090" s="25"/>
      <c r="EB1090" s="25"/>
      <c r="EC1090" s="25"/>
      <c r="ED1090" s="25"/>
      <c r="EE1090" s="25"/>
      <c r="EF1090" s="25"/>
      <c r="EG1090" s="25"/>
      <c r="EH1090" s="25"/>
      <c r="EI1090" s="25"/>
      <c r="EJ1090" s="25"/>
      <c r="EK1090" s="25"/>
      <c r="EL1090" s="25"/>
      <c r="EM1090" s="25"/>
      <c r="EN1090" s="25"/>
      <c r="EO1090" s="25"/>
      <c r="EP1090" s="25"/>
      <c r="EQ1090" s="25"/>
      <c r="ER1090" s="25"/>
      <c r="ES1090" s="25"/>
      <c r="ET1090" s="25"/>
      <c r="EU1090" s="25"/>
      <c r="EV1090" s="25"/>
      <c r="EW1090" s="25"/>
      <c r="EX1090" s="25"/>
      <c r="EY1090" s="25"/>
      <c r="EZ1090" s="25"/>
      <c r="FA1090" s="25"/>
      <c r="FB1090" s="25"/>
      <c r="FC1090" s="25"/>
      <c r="FD1090" s="25"/>
      <c r="FE1090" s="25"/>
      <c r="FF1090" s="25"/>
      <c r="FG1090" s="25"/>
      <c r="FH1090" s="25"/>
      <c r="FI1090" s="25"/>
      <c r="FJ1090" s="25"/>
      <c r="FK1090" s="25"/>
      <c r="FL1090" s="25"/>
      <c r="FM1090" s="25"/>
      <c r="FN1090" s="25"/>
      <c r="FO1090" s="25"/>
      <c r="FP1090" s="25"/>
      <c r="FQ1090" s="25"/>
      <c r="FR1090" s="25"/>
      <c r="FS1090" s="25"/>
      <c r="FT1090" s="25"/>
      <c r="FU1090" s="25"/>
      <c r="FV1090" s="28"/>
      <c r="FW1090" s="27"/>
      <c r="FX1090" s="27"/>
      <c r="FY1090" s="25"/>
      <c r="FZ1090" s="25"/>
      <c r="GA1090" s="25"/>
      <c r="GB1090" s="25"/>
      <c r="GC1090" s="25"/>
      <c r="GD1090" s="25"/>
      <c r="GE1090" s="25"/>
      <c r="GF1090" s="25"/>
      <c r="GG1090" s="25"/>
      <c r="GH1090" s="25"/>
      <c r="GI1090" s="25"/>
      <c r="GJ1090" s="25"/>
      <c r="GK1090" s="25"/>
      <c r="GL1090" s="25"/>
      <c r="GM1090" s="25"/>
      <c r="GN1090" s="25"/>
      <c r="GO1090" s="25"/>
      <c r="GP1090" s="25"/>
      <c r="GQ1090" s="25"/>
      <c r="GR1090" s="25"/>
      <c r="GS1090" s="25"/>
      <c r="GT1090" s="25"/>
      <c r="GU1090" s="25"/>
      <c r="GV1090" s="25"/>
      <c r="GW1090" s="25"/>
      <c r="GX1090" s="25"/>
      <c r="GY1090" s="25"/>
      <c r="GZ1090" s="25"/>
      <c r="HA1090" s="25"/>
      <c r="HB1090" s="25"/>
      <c r="HC1090" s="25"/>
      <c r="HD1090" s="25"/>
      <c r="HE1090" s="25"/>
      <c r="HF1090" s="25"/>
      <c r="HG1090" s="25"/>
      <c r="HH1090" s="25"/>
      <c r="HI1090" s="25"/>
      <c r="HJ1090" s="25"/>
      <c r="HK1090" s="25"/>
      <c r="HL1090" s="25"/>
    </row>
    <row r="1091" spans="1:220" ht="15.75" customHeight="1" x14ac:dyDescent="0.2">
      <c r="A1091" s="25"/>
      <c r="B1091" s="29"/>
      <c r="C1091" s="26"/>
      <c r="D1091" s="29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  <c r="BH1091" s="25"/>
      <c r="BI1091" s="25"/>
      <c r="BJ1091" s="25"/>
      <c r="BK1091" s="25"/>
      <c r="BL1091" s="25"/>
      <c r="BM1091" s="25"/>
      <c r="BN1091" s="25"/>
      <c r="BO1091" s="25"/>
      <c r="BP1091" s="25"/>
      <c r="BQ1091" s="25"/>
      <c r="BR1091" s="25"/>
      <c r="BS1091" s="25"/>
      <c r="BT1091" s="25"/>
      <c r="BU1091" s="25"/>
      <c r="BV1091" s="25"/>
      <c r="BW1091" s="25"/>
      <c r="BX1091" s="25"/>
      <c r="BY1091" s="25"/>
      <c r="BZ1091" s="25"/>
      <c r="CA1091" s="25"/>
      <c r="CB1091" s="25"/>
      <c r="CC1091" s="25"/>
      <c r="CD1091" s="25"/>
      <c r="CE1091" s="25"/>
      <c r="CF1091" s="25"/>
      <c r="CG1091" s="25"/>
      <c r="CH1091" s="25"/>
      <c r="CI1091" s="25"/>
      <c r="CJ1091" s="25"/>
      <c r="CK1091" s="25"/>
      <c r="CL1091" s="25"/>
      <c r="CM1091" s="25"/>
      <c r="CN1091" s="25"/>
      <c r="CO1091" s="25"/>
      <c r="CP1091" s="25"/>
      <c r="CQ1091" s="25"/>
      <c r="CR1091" s="25"/>
      <c r="CS1091" s="25"/>
      <c r="CT1091" s="25"/>
      <c r="CU1091" s="25"/>
      <c r="CV1091" s="25"/>
      <c r="CW1091" s="25"/>
      <c r="CX1091" s="25"/>
      <c r="CY1091" s="25"/>
      <c r="CZ1091" s="25"/>
      <c r="DA1091" s="25"/>
      <c r="DB1091" s="25"/>
      <c r="DC1091" s="25"/>
      <c r="DD1091" s="25"/>
      <c r="DE1091" s="25"/>
      <c r="DF1091" s="25"/>
      <c r="DG1091" s="25"/>
      <c r="DH1091" s="25"/>
      <c r="DI1091" s="25"/>
      <c r="DJ1091" s="25"/>
      <c r="DK1091" s="25"/>
      <c r="DL1091" s="25"/>
      <c r="DM1091" s="25"/>
      <c r="DN1091" s="25"/>
      <c r="DO1091" s="25"/>
      <c r="DP1091" s="25"/>
      <c r="DQ1091" s="25"/>
      <c r="DR1091" s="25"/>
      <c r="DS1091" s="25"/>
      <c r="DT1091" s="25"/>
      <c r="DU1091" s="25"/>
      <c r="DV1091" s="25"/>
      <c r="DW1091" s="25"/>
      <c r="DX1091" s="25"/>
      <c r="DY1091" s="25"/>
      <c r="DZ1091" s="25"/>
      <c r="EA1091" s="25"/>
      <c r="EB1091" s="25"/>
      <c r="EC1091" s="25"/>
      <c r="ED1091" s="25"/>
      <c r="EE1091" s="25"/>
      <c r="EF1091" s="25"/>
      <c r="EG1091" s="25"/>
      <c r="EH1091" s="25"/>
      <c r="EI1091" s="25"/>
      <c r="EJ1091" s="25"/>
      <c r="EK1091" s="25"/>
      <c r="EL1091" s="25"/>
      <c r="EM1091" s="25"/>
      <c r="EN1091" s="25"/>
      <c r="EO1091" s="25"/>
      <c r="EP1091" s="25"/>
      <c r="EQ1091" s="25"/>
      <c r="ER1091" s="25"/>
      <c r="ES1091" s="25"/>
      <c r="ET1091" s="25"/>
      <c r="EU1091" s="25"/>
      <c r="EV1091" s="25"/>
      <c r="EW1091" s="25"/>
      <c r="EX1091" s="25"/>
      <c r="EY1091" s="25"/>
      <c r="EZ1091" s="25"/>
      <c r="FA1091" s="25"/>
      <c r="FB1091" s="25"/>
      <c r="FC1091" s="25"/>
      <c r="FD1091" s="25"/>
      <c r="FE1091" s="25"/>
      <c r="FF1091" s="25"/>
      <c r="FG1091" s="25"/>
      <c r="FH1091" s="25"/>
      <c r="FI1091" s="25"/>
      <c r="FJ1091" s="25"/>
      <c r="FK1091" s="25"/>
      <c r="FL1091" s="25"/>
      <c r="FM1091" s="25"/>
      <c r="FN1091" s="25"/>
      <c r="FO1091" s="25"/>
      <c r="FP1091" s="25"/>
      <c r="FQ1091" s="25"/>
      <c r="FR1091" s="25"/>
      <c r="FS1091" s="25"/>
      <c r="FT1091" s="25"/>
      <c r="FU1091" s="25"/>
      <c r="FV1091" s="28"/>
      <c r="FW1091" s="27"/>
      <c r="FX1091" s="27"/>
      <c r="FY1091" s="25"/>
      <c r="FZ1091" s="25"/>
      <c r="GA1091" s="25"/>
      <c r="GB1091" s="25"/>
      <c r="GC1091" s="25"/>
      <c r="GD1091" s="25"/>
      <c r="GE1091" s="25"/>
      <c r="GF1091" s="25"/>
      <c r="GG1091" s="25"/>
      <c r="GH1091" s="25"/>
      <c r="GI1091" s="25"/>
      <c r="GJ1091" s="25"/>
      <c r="GK1091" s="25"/>
      <c r="GL1091" s="25"/>
      <c r="GM1091" s="25"/>
      <c r="GN1091" s="25"/>
      <c r="GO1091" s="25"/>
      <c r="GP1091" s="25"/>
      <c r="GQ1091" s="25"/>
      <c r="GR1091" s="25"/>
      <c r="GS1091" s="25"/>
      <c r="GT1091" s="25"/>
      <c r="GU1091" s="25"/>
      <c r="GV1091" s="25"/>
      <c r="GW1091" s="25"/>
      <c r="GX1091" s="25"/>
      <c r="GY1091" s="25"/>
      <c r="GZ1091" s="25"/>
      <c r="HA1091" s="25"/>
      <c r="HB1091" s="25"/>
      <c r="HC1091" s="25"/>
      <c r="HD1091" s="25"/>
      <c r="HE1091" s="25"/>
      <c r="HF1091" s="25"/>
      <c r="HG1091" s="25"/>
      <c r="HH1091" s="25"/>
      <c r="HI1091" s="25"/>
      <c r="HJ1091" s="25"/>
      <c r="HK1091" s="25"/>
      <c r="HL1091" s="25"/>
    </row>
    <row r="1092" spans="1:220" ht="15.75" customHeight="1" x14ac:dyDescent="0.2">
      <c r="A1092" s="25"/>
      <c r="B1092" s="29"/>
      <c r="C1092" s="26"/>
      <c r="D1092" s="29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  <c r="BH1092" s="25"/>
      <c r="BI1092" s="25"/>
      <c r="BJ1092" s="25"/>
      <c r="BK1092" s="25"/>
      <c r="BL1092" s="25"/>
      <c r="BM1092" s="25"/>
      <c r="BN1092" s="25"/>
      <c r="BO1092" s="25"/>
      <c r="BP1092" s="25"/>
      <c r="BQ1092" s="25"/>
      <c r="BR1092" s="25"/>
      <c r="BS1092" s="25"/>
      <c r="BT1092" s="25"/>
      <c r="BU1092" s="25"/>
      <c r="BV1092" s="25"/>
      <c r="BW1092" s="25"/>
      <c r="BX1092" s="25"/>
      <c r="BY1092" s="25"/>
      <c r="BZ1092" s="25"/>
      <c r="CA1092" s="25"/>
      <c r="CB1092" s="25"/>
      <c r="CC1092" s="25"/>
      <c r="CD1092" s="25"/>
      <c r="CE1092" s="25"/>
      <c r="CF1092" s="25"/>
      <c r="CG1092" s="25"/>
      <c r="CH1092" s="25"/>
      <c r="CI1092" s="25"/>
      <c r="CJ1092" s="25"/>
      <c r="CK1092" s="25"/>
      <c r="CL1092" s="25"/>
      <c r="CM1092" s="25"/>
      <c r="CN1092" s="25"/>
      <c r="CO1092" s="25"/>
      <c r="CP1092" s="25"/>
      <c r="CQ1092" s="25"/>
      <c r="CR1092" s="25"/>
      <c r="CS1092" s="25"/>
      <c r="CT1092" s="25"/>
      <c r="CU1092" s="25"/>
      <c r="CV1092" s="25"/>
      <c r="CW1092" s="25"/>
      <c r="CX1092" s="25"/>
      <c r="CY1092" s="25"/>
      <c r="CZ1092" s="25"/>
      <c r="DA1092" s="25"/>
      <c r="DB1092" s="25"/>
      <c r="DC1092" s="25"/>
      <c r="DD1092" s="25"/>
      <c r="DE1092" s="25"/>
      <c r="DF1092" s="25"/>
      <c r="DG1092" s="25"/>
      <c r="DH1092" s="25"/>
      <c r="DI1092" s="25"/>
      <c r="DJ1092" s="25"/>
      <c r="DK1092" s="25"/>
      <c r="DL1092" s="25"/>
      <c r="DM1092" s="25"/>
      <c r="DN1092" s="25"/>
      <c r="DO1092" s="25"/>
      <c r="DP1092" s="25"/>
      <c r="DQ1092" s="25"/>
      <c r="DR1092" s="25"/>
      <c r="DS1092" s="25"/>
      <c r="DT1092" s="25"/>
      <c r="DU1092" s="25"/>
      <c r="DV1092" s="25"/>
      <c r="DW1092" s="25"/>
      <c r="DX1092" s="25"/>
      <c r="DY1092" s="25"/>
      <c r="DZ1092" s="25"/>
      <c r="EA1092" s="25"/>
      <c r="EB1092" s="25"/>
      <c r="EC1092" s="25"/>
      <c r="ED1092" s="25"/>
      <c r="EE1092" s="25"/>
      <c r="EF1092" s="25"/>
      <c r="EG1092" s="25"/>
      <c r="EH1092" s="25"/>
      <c r="EI1092" s="25"/>
      <c r="EJ1092" s="25"/>
      <c r="EK1092" s="25"/>
      <c r="EL1092" s="25"/>
      <c r="EM1092" s="25"/>
      <c r="EN1092" s="25"/>
      <c r="EO1092" s="25"/>
      <c r="EP1092" s="25"/>
      <c r="EQ1092" s="25"/>
      <c r="ER1092" s="25"/>
      <c r="ES1092" s="25"/>
      <c r="ET1092" s="25"/>
      <c r="EU1092" s="25"/>
      <c r="EV1092" s="25"/>
      <c r="EW1092" s="25"/>
      <c r="EX1092" s="25"/>
      <c r="EY1092" s="25"/>
      <c r="EZ1092" s="25"/>
      <c r="FA1092" s="25"/>
      <c r="FB1092" s="25"/>
      <c r="FC1092" s="25"/>
      <c r="FD1092" s="25"/>
      <c r="FE1092" s="25"/>
      <c r="FF1092" s="25"/>
      <c r="FG1092" s="25"/>
      <c r="FH1092" s="25"/>
      <c r="FI1092" s="25"/>
      <c r="FJ1092" s="25"/>
      <c r="FK1092" s="25"/>
      <c r="FL1092" s="25"/>
      <c r="FM1092" s="25"/>
      <c r="FN1092" s="25"/>
      <c r="FO1092" s="25"/>
      <c r="FP1092" s="25"/>
      <c r="FQ1092" s="25"/>
      <c r="FR1092" s="25"/>
      <c r="FS1092" s="25"/>
      <c r="FT1092" s="25"/>
      <c r="FU1092" s="25"/>
      <c r="FV1092" s="28"/>
      <c r="FW1092" s="27"/>
      <c r="FX1092" s="27"/>
      <c r="FY1092" s="25"/>
      <c r="FZ1092" s="25"/>
      <c r="GA1092" s="25"/>
      <c r="GB1092" s="25"/>
      <c r="GC1092" s="25"/>
      <c r="GD1092" s="25"/>
      <c r="GE1092" s="25"/>
      <c r="GF1092" s="25"/>
      <c r="GG1092" s="25"/>
      <c r="GH1092" s="25"/>
      <c r="GI1092" s="25"/>
      <c r="GJ1092" s="25"/>
      <c r="GK1092" s="25"/>
      <c r="GL1092" s="25"/>
      <c r="GM1092" s="25"/>
      <c r="GN1092" s="25"/>
      <c r="GO1092" s="25"/>
      <c r="GP1092" s="25"/>
      <c r="GQ1092" s="25"/>
      <c r="GR1092" s="25"/>
      <c r="GS1092" s="25"/>
      <c r="GT1092" s="25"/>
      <c r="GU1092" s="25"/>
      <c r="GV1092" s="25"/>
      <c r="GW1092" s="25"/>
      <c r="GX1092" s="25"/>
      <c r="GY1092" s="25"/>
      <c r="GZ1092" s="25"/>
      <c r="HA1092" s="25"/>
      <c r="HB1092" s="25"/>
      <c r="HC1092" s="25"/>
      <c r="HD1092" s="25"/>
      <c r="HE1092" s="25"/>
      <c r="HF1092" s="25"/>
      <c r="HG1092" s="25"/>
      <c r="HH1092" s="25"/>
      <c r="HI1092" s="25"/>
      <c r="HJ1092" s="25"/>
      <c r="HK1092" s="25"/>
      <c r="HL1092" s="25"/>
    </row>
    <row r="1093" spans="1:220" ht="15.75" customHeight="1" x14ac:dyDescent="0.2">
      <c r="A1093" s="25"/>
      <c r="B1093" s="29"/>
      <c r="C1093" s="26"/>
      <c r="D1093" s="29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  <c r="BH1093" s="25"/>
      <c r="BI1093" s="25"/>
      <c r="BJ1093" s="25"/>
      <c r="BK1093" s="25"/>
      <c r="BL1093" s="25"/>
      <c r="BM1093" s="25"/>
      <c r="BN1093" s="25"/>
      <c r="BO1093" s="25"/>
      <c r="BP1093" s="25"/>
      <c r="BQ1093" s="25"/>
      <c r="BR1093" s="25"/>
      <c r="BS1093" s="25"/>
      <c r="BT1093" s="25"/>
      <c r="BU1093" s="25"/>
      <c r="BV1093" s="25"/>
      <c r="BW1093" s="25"/>
      <c r="BX1093" s="25"/>
      <c r="BY1093" s="25"/>
      <c r="BZ1093" s="25"/>
      <c r="CA1093" s="25"/>
      <c r="CB1093" s="25"/>
      <c r="CC1093" s="25"/>
      <c r="CD1093" s="25"/>
      <c r="CE1093" s="25"/>
      <c r="CF1093" s="25"/>
      <c r="CG1093" s="25"/>
      <c r="CH1093" s="25"/>
      <c r="CI1093" s="25"/>
      <c r="CJ1093" s="25"/>
      <c r="CK1093" s="25"/>
      <c r="CL1093" s="25"/>
      <c r="CM1093" s="25"/>
      <c r="CN1093" s="25"/>
      <c r="CO1093" s="25"/>
      <c r="CP1093" s="25"/>
      <c r="CQ1093" s="25"/>
      <c r="CR1093" s="25"/>
      <c r="CS1093" s="25"/>
      <c r="CT1093" s="25"/>
      <c r="CU1093" s="25"/>
      <c r="CV1093" s="25"/>
      <c r="CW1093" s="25"/>
      <c r="CX1093" s="25"/>
      <c r="CY1093" s="25"/>
      <c r="CZ1093" s="25"/>
      <c r="DA1093" s="25"/>
      <c r="DB1093" s="25"/>
      <c r="DC1093" s="25"/>
      <c r="DD1093" s="25"/>
      <c r="DE1093" s="25"/>
      <c r="DF1093" s="25"/>
      <c r="DG1093" s="25"/>
      <c r="DH1093" s="25"/>
      <c r="DI1093" s="25"/>
      <c r="DJ1093" s="25"/>
      <c r="DK1093" s="25"/>
      <c r="DL1093" s="25"/>
      <c r="DM1093" s="25"/>
      <c r="DN1093" s="25"/>
      <c r="DO1093" s="25"/>
      <c r="DP1093" s="25"/>
      <c r="DQ1093" s="25"/>
      <c r="DR1093" s="25"/>
      <c r="DS1093" s="25"/>
      <c r="DT1093" s="25"/>
      <c r="DU1093" s="25"/>
      <c r="DV1093" s="25"/>
      <c r="DW1093" s="25"/>
      <c r="DX1093" s="25"/>
      <c r="DY1093" s="25"/>
      <c r="DZ1093" s="25"/>
      <c r="EA1093" s="25"/>
      <c r="EB1093" s="25"/>
      <c r="EC1093" s="25"/>
      <c r="ED1093" s="25"/>
      <c r="EE1093" s="25"/>
      <c r="EF1093" s="25"/>
      <c r="EG1093" s="25"/>
      <c r="EH1093" s="25"/>
      <c r="EI1093" s="25"/>
      <c r="EJ1093" s="25"/>
      <c r="EK1093" s="25"/>
      <c r="EL1093" s="25"/>
      <c r="EM1093" s="25"/>
      <c r="EN1093" s="25"/>
      <c r="EO1093" s="25"/>
      <c r="EP1093" s="25"/>
      <c r="EQ1093" s="25"/>
      <c r="ER1093" s="25"/>
      <c r="ES1093" s="25"/>
      <c r="ET1093" s="25"/>
      <c r="EU1093" s="25"/>
      <c r="EV1093" s="25"/>
      <c r="EW1093" s="25"/>
      <c r="EX1093" s="25"/>
      <c r="EY1093" s="25"/>
      <c r="EZ1093" s="25"/>
      <c r="FA1093" s="25"/>
      <c r="FB1093" s="25"/>
      <c r="FC1093" s="25"/>
      <c r="FD1093" s="25"/>
      <c r="FE1093" s="25"/>
      <c r="FF1093" s="25"/>
      <c r="FG1093" s="25"/>
      <c r="FH1093" s="25"/>
      <c r="FI1093" s="25"/>
      <c r="FJ1093" s="25"/>
      <c r="FK1093" s="25"/>
      <c r="FL1093" s="25"/>
      <c r="FM1093" s="25"/>
      <c r="FN1093" s="25"/>
      <c r="FO1093" s="25"/>
      <c r="FP1093" s="25"/>
      <c r="FQ1093" s="25"/>
      <c r="FR1093" s="25"/>
      <c r="FS1093" s="25"/>
      <c r="FT1093" s="25"/>
      <c r="FU1093" s="25"/>
      <c r="FV1093" s="28"/>
      <c r="FW1093" s="27"/>
      <c r="FX1093" s="27"/>
      <c r="FY1093" s="25"/>
      <c r="FZ1093" s="25"/>
      <c r="GA1093" s="25"/>
      <c r="GB1093" s="25"/>
      <c r="GC1093" s="25"/>
      <c r="GD1093" s="25"/>
      <c r="GE1093" s="25"/>
      <c r="GF1093" s="25"/>
      <c r="GG1093" s="25"/>
      <c r="GH1093" s="25"/>
      <c r="GI1093" s="25"/>
      <c r="GJ1093" s="25"/>
      <c r="GK1093" s="25"/>
      <c r="GL1093" s="25"/>
      <c r="GM1093" s="25"/>
      <c r="GN1093" s="25"/>
      <c r="GO1093" s="25"/>
      <c r="GP1093" s="25"/>
      <c r="GQ1093" s="25"/>
      <c r="GR1093" s="25"/>
      <c r="GS1093" s="25"/>
      <c r="GT1093" s="25"/>
      <c r="GU1093" s="25"/>
      <c r="GV1093" s="25"/>
      <c r="GW1093" s="25"/>
      <c r="GX1093" s="25"/>
      <c r="GY1093" s="25"/>
      <c r="GZ1093" s="25"/>
      <c r="HA1093" s="25"/>
      <c r="HB1093" s="25"/>
      <c r="HC1093" s="25"/>
      <c r="HD1093" s="25"/>
      <c r="HE1093" s="25"/>
      <c r="HF1093" s="25"/>
      <c r="HG1093" s="25"/>
      <c r="HH1093" s="25"/>
      <c r="HI1093" s="25"/>
      <c r="HJ1093" s="25"/>
      <c r="HK1093" s="25"/>
      <c r="HL1093" s="25"/>
    </row>
    <row r="1094" spans="1:220" ht="15.75" customHeight="1" x14ac:dyDescent="0.2">
      <c r="A1094" s="25"/>
      <c r="B1094" s="29"/>
      <c r="C1094" s="26"/>
      <c r="D1094" s="29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  <c r="BH1094" s="25"/>
      <c r="BI1094" s="25"/>
      <c r="BJ1094" s="25"/>
      <c r="BK1094" s="25"/>
      <c r="BL1094" s="25"/>
      <c r="BM1094" s="25"/>
      <c r="BN1094" s="25"/>
      <c r="BO1094" s="25"/>
      <c r="BP1094" s="25"/>
      <c r="BQ1094" s="25"/>
      <c r="BR1094" s="25"/>
      <c r="BS1094" s="25"/>
      <c r="BT1094" s="25"/>
      <c r="BU1094" s="25"/>
      <c r="BV1094" s="25"/>
      <c r="BW1094" s="25"/>
      <c r="BX1094" s="25"/>
      <c r="BY1094" s="25"/>
      <c r="BZ1094" s="25"/>
      <c r="CA1094" s="25"/>
      <c r="CB1094" s="25"/>
      <c r="CC1094" s="25"/>
      <c r="CD1094" s="25"/>
      <c r="CE1094" s="25"/>
      <c r="CF1094" s="25"/>
      <c r="CG1094" s="25"/>
      <c r="CH1094" s="25"/>
      <c r="CI1094" s="25"/>
      <c r="CJ1094" s="25"/>
      <c r="CK1094" s="25"/>
      <c r="CL1094" s="25"/>
      <c r="CM1094" s="25"/>
      <c r="CN1094" s="25"/>
      <c r="CO1094" s="25"/>
      <c r="CP1094" s="25"/>
      <c r="CQ1094" s="25"/>
      <c r="CR1094" s="25"/>
      <c r="CS1094" s="25"/>
      <c r="CT1094" s="25"/>
      <c r="CU1094" s="25"/>
      <c r="CV1094" s="25"/>
      <c r="CW1094" s="25"/>
      <c r="CX1094" s="25"/>
      <c r="CY1094" s="25"/>
      <c r="CZ1094" s="25"/>
      <c r="DA1094" s="25"/>
      <c r="DB1094" s="25"/>
      <c r="DC1094" s="25"/>
      <c r="DD1094" s="25"/>
      <c r="DE1094" s="25"/>
      <c r="DF1094" s="25"/>
      <c r="DG1094" s="25"/>
      <c r="DH1094" s="25"/>
      <c r="DI1094" s="25"/>
      <c r="DJ1094" s="25"/>
      <c r="DK1094" s="25"/>
      <c r="DL1094" s="25"/>
      <c r="DM1094" s="25"/>
      <c r="DN1094" s="25"/>
      <c r="DO1094" s="25"/>
      <c r="DP1094" s="25"/>
      <c r="DQ1094" s="25"/>
      <c r="DR1094" s="25"/>
      <c r="DS1094" s="25"/>
      <c r="DT1094" s="25"/>
      <c r="DU1094" s="25"/>
      <c r="DV1094" s="25"/>
      <c r="DW1094" s="25"/>
      <c r="DX1094" s="25"/>
      <c r="DY1094" s="25"/>
      <c r="DZ1094" s="25"/>
      <c r="EA1094" s="25"/>
      <c r="EB1094" s="25"/>
      <c r="EC1094" s="25"/>
      <c r="ED1094" s="25"/>
      <c r="EE1094" s="25"/>
      <c r="EF1094" s="25"/>
      <c r="EG1094" s="25"/>
      <c r="EH1094" s="25"/>
      <c r="EI1094" s="25"/>
      <c r="EJ1094" s="25"/>
      <c r="EK1094" s="25"/>
      <c r="EL1094" s="25"/>
      <c r="EM1094" s="25"/>
      <c r="EN1094" s="25"/>
      <c r="EO1094" s="25"/>
      <c r="EP1094" s="25"/>
      <c r="EQ1094" s="25"/>
      <c r="ER1094" s="25"/>
      <c r="ES1094" s="25"/>
      <c r="ET1094" s="25"/>
      <c r="EU1094" s="25"/>
      <c r="EV1094" s="25"/>
      <c r="EW1094" s="25"/>
      <c r="EX1094" s="25"/>
      <c r="EY1094" s="25"/>
      <c r="EZ1094" s="25"/>
      <c r="FA1094" s="25"/>
      <c r="FB1094" s="25"/>
      <c r="FC1094" s="25"/>
      <c r="FD1094" s="25"/>
      <c r="FE1094" s="25"/>
      <c r="FF1094" s="25"/>
      <c r="FG1094" s="25"/>
      <c r="FH1094" s="25"/>
      <c r="FI1094" s="25"/>
      <c r="FJ1094" s="25"/>
      <c r="FK1094" s="25"/>
      <c r="FL1094" s="25"/>
      <c r="FM1094" s="25"/>
      <c r="FN1094" s="25"/>
      <c r="FO1094" s="25"/>
      <c r="FP1094" s="25"/>
      <c r="FQ1094" s="25"/>
      <c r="FR1094" s="25"/>
      <c r="FS1094" s="25"/>
      <c r="FT1094" s="25"/>
      <c r="FU1094" s="25"/>
      <c r="FV1094" s="28"/>
      <c r="FW1094" s="27"/>
      <c r="FX1094" s="27"/>
      <c r="FY1094" s="25"/>
      <c r="FZ1094" s="25"/>
      <c r="GA1094" s="25"/>
      <c r="GB1094" s="25"/>
      <c r="GC1094" s="25"/>
      <c r="GD1094" s="25"/>
      <c r="GE1094" s="25"/>
      <c r="GF1094" s="25"/>
      <c r="GG1094" s="25"/>
      <c r="GH1094" s="25"/>
      <c r="GI1094" s="25"/>
      <c r="GJ1094" s="25"/>
      <c r="GK1094" s="25"/>
      <c r="GL1094" s="25"/>
      <c r="GM1094" s="25"/>
      <c r="GN1094" s="25"/>
      <c r="GO1094" s="25"/>
      <c r="GP1094" s="25"/>
      <c r="GQ1094" s="25"/>
      <c r="GR1094" s="25"/>
      <c r="GS1094" s="25"/>
      <c r="GT1094" s="25"/>
      <c r="GU1094" s="25"/>
      <c r="GV1094" s="25"/>
      <c r="GW1094" s="25"/>
      <c r="GX1094" s="25"/>
      <c r="GY1094" s="25"/>
      <c r="GZ1094" s="25"/>
      <c r="HA1094" s="25"/>
      <c r="HB1094" s="25"/>
      <c r="HC1094" s="25"/>
      <c r="HD1094" s="25"/>
      <c r="HE1094" s="25"/>
      <c r="HF1094" s="25"/>
      <c r="HG1094" s="25"/>
      <c r="HH1094" s="25"/>
      <c r="HI1094" s="25"/>
      <c r="HJ1094" s="25"/>
      <c r="HK1094" s="25"/>
      <c r="HL1094" s="25"/>
    </row>
    <row r="1095" spans="1:220" ht="15.75" customHeight="1" x14ac:dyDescent="0.2">
      <c r="A1095" s="25"/>
      <c r="B1095" s="29"/>
      <c r="C1095" s="26"/>
      <c r="D1095" s="29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  <c r="CA1095" s="25"/>
      <c r="CB1095" s="25"/>
      <c r="CC1095" s="25"/>
      <c r="CD1095" s="25"/>
      <c r="CE1095" s="25"/>
      <c r="CF1095" s="25"/>
      <c r="CG1095" s="25"/>
      <c r="CH1095" s="25"/>
      <c r="CI1095" s="25"/>
      <c r="CJ1095" s="25"/>
      <c r="CK1095" s="25"/>
      <c r="CL1095" s="25"/>
      <c r="CM1095" s="25"/>
      <c r="CN1095" s="25"/>
      <c r="CO1095" s="25"/>
      <c r="CP1095" s="25"/>
      <c r="CQ1095" s="25"/>
      <c r="CR1095" s="25"/>
      <c r="CS1095" s="25"/>
      <c r="CT1095" s="25"/>
      <c r="CU1095" s="25"/>
      <c r="CV1095" s="25"/>
      <c r="CW1095" s="25"/>
      <c r="CX1095" s="25"/>
      <c r="CY1095" s="25"/>
      <c r="CZ1095" s="25"/>
      <c r="DA1095" s="25"/>
      <c r="DB1095" s="25"/>
      <c r="DC1095" s="25"/>
      <c r="DD1095" s="25"/>
      <c r="DE1095" s="25"/>
      <c r="DF1095" s="25"/>
      <c r="DG1095" s="25"/>
      <c r="DH1095" s="25"/>
      <c r="DI1095" s="25"/>
      <c r="DJ1095" s="25"/>
      <c r="DK1095" s="25"/>
      <c r="DL1095" s="25"/>
      <c r="DM1095" s="25"/>
      <c r="DN1095" s="25"/>
      <c r="DO1095" s="25"/>
      <c r="DP1095" s="25"/>
      <c r="DQ1095" s="25"/>
      <c r="DR1095" s="25"/>
      <c r="DS1095" s="25"/>
      <c r="DT1095" s="25"/>
      <c r="DU1095" s="25"/>
      <c r="DV1095" s="25"/>
      <c r="DW1095" s="25"/>
      <c r="DX1095" s="25"/>
      <c r="DY1095" s="25"/>
      <c r="DZ1095" s="25"/>
      <c r="EA1095" s="25"/>
      <c r="EB1095" s="25"/>
      <c r="EC1095" s="25"/>
      <c r="ED1095" s="25"/>
      <c r="EE1095" s="25"/>
      <c r="EF1095" s="25"/>
      <c r="EG1095" s="25"/>
      <c r="EH1095" s="25"/>
      <c r="EI1095" s="25"/>
      <c r="EJ1095" s="25"/>
      <c r="EK1095" s="25"/>
      <c r="EL1095" s="25"/>
      <c r="EM1095" s="25"/>
      <c r="EN1095" s="25"/>
      <c r="EO1095" s="25"/>
      <c r="EP1095" s="25"/>
      <c r="EQ1095" s="25"/>
      <c r="ER1095" s="25"/>
      <c r="ES1095" s="25"/>
      <c r="ET1095" s="25"/>
      <c r="EU1095" s="25"/>
      <c r="EV1095" s="25"/>
      <c r="EW1095" s="25"/>
      <c r="EX1095" s="25"/>
      <c r="EY1095" s="25"/>
      <c r="EZ1095" s="25"/>
      <c r="FA1095" s="25"/>
      <c r="FB1095" s="25"/>
      <c r="FC1095" s="25"/>
      <c r="FD1095" s="25"/>
      <c r="FE1095" s="25"/>
      <c r="FF1095" s="25"/>
      <c r="FG1095" s="25"/>
      <c r="FH1095" s="25"/>
      <c r="FI1095" s="25"/>
      <c r="FJ1095" s="25"/>
      <c r="FK1095" s="25"/>
      <c r="FL1095" s="25"/>
      <c r="FM1095" s="25"/>
      <c r="FN1095" s="25"/>
      <c r="FO1095" s="25"/>
      <c r="FP1095" s="25"/>
      <c r="FQ1095" s="25"/>
      <c r="FR1095" s="25"/>
      <c r="FS1095" s="25"/>
      <c r="FT1095" s="25"/>
      <c r="FU1095" s="25"/>
      <c r="FV1095" s="28"/>
      <c r="FW1095" s="27"/>
      <c r="FX1095" s="27"/>
      <c r="FY1095" s="25"/>
      <c r="FZ1095" s="25"/>
      <c r="GA1095" s="25"/>
      <c r="GB1095" s="25"/>
      <c r="GC1095" s="25"/>
      <c r="GD1095" s="25"/>
      <c r="GE1095" s="25"/>
      <c r="GF1095" s="25"/>
      <c r="GG1095" s="25"/>
      <c r="GH1095" s="25"/>
      <c r="GI1095" s="25"/>
      <c r="GJ1095" s="25"/>
      <c r="GK1095" s="25"/>
      <c r="GL1095" s="25"/>
      <c r="GM1095" s="25"/>
      <c r="GN1095" s="25"/>
      <c r="GO1095" s="25"/>
      <c r="GP1095" s="25"/>
      <c r="GQ1095" s="25"/>
      <c r="GR1095" s="25"/>
      <c r="GS1095" s="25"/>
      <c r="GT1095" s="25"/>
      <c r="GU1095" s="25"/>
      <c r="GV1095" s="25"/>
      <c r="GW1095" s="25"/>
      <c r="GX1095" s="25"/>
      <c r="GY1095" s="25"/>
      <c r="GZ1095" s="25"/>
      <c r="HA1095" s="25"/>
      <c r="HB1095" s="25"/>
      <c r="HC1095" s="25"/>
      <c r="HD1095" s="25"/>
      <c r="HE1095" s="25"/>
      <c r="HF1095" s="25"/>
      <c r="HG1095" s="25"/>
      <c r="HH1095" s="25"/>
      <c r="HI1095" s="25"/>
      <c r="HJ1095" s="25"/>
      <c r="HK1095" s="25"/>
      <c r="HL1095" s="25"/>
    </row>
  </sheetData>
  <mergeCells count="5">
    <mergeCell ref="A12:D26"/>
    <mergeCell ref="A44:D44"/>
    <mergeCell ref="CT89:CT90"/>
    <mergeCell ref="CU89:CU90"/>
    <mergeCell ref="CX89:CX90"/>
  </mergeCells>
  <conditionalFormatting sqref="DF153:DG153 DE203:DF214 DE216:DE222 DF216:DF242 DG223:DG242 DF322:DG346 DF348:DG349 DF351:DG352 DF354:DG354 DF357:DG361">
    <cfRule type="notContainsBlanks" dxfId="0" priority="1">
      <formula>LEN(TRIM(DF153))&gt;0</formula>
    </cfRule>
  </conditionalFormatting>
  <conditionalFormatting sqref="D309">
    <cfRule type="colorScale" priority="2">
      <colorScale>
        <cfvo type="min"/>
        <cfvo type="max"/>
        <color rgb="FF57BB8A"/>
        <color rgb="FFFFFFFF"/>
      </colorScale>
    </cfRule>
  </conditionalFormatting>
  <printOptions horizontalCentered="1"/>
  <pageMargins left="0.25" right="0.25" top="0.75" bottom="0.75" header="0" footer="0"/>
  <pageSetup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W991"/>
  <sheetViews>
    <sheetView workbookViewId="0">
      <selection activeCell="D25" sqref="D25"/>
    </sheetView>
  </sheetViews>
  <sheetFormatPr defaultColWidth="14.42578125" defaultRowHeight="15" customHeight="1" x14ac:dyDescent="0.2"/>
  <cols>
    <col min="1" max="1" width="6.42578125" style="1" customWidth="1"/>
    <col min="2" max="2" width="18.42578125" style="1" bestFit="1" customWidth="1"/>
    <col min="3" max="3" width="17.7109375" style="1" bestFit="1" customWidth="1"/>
    <col min="4" max="4" width="57" style="1" customWidth="1"/>
    <col min="5" max="10" width="10.140625" style="7" bestFit="1" customWidth="1"/>
    <col min="11" max="18" width="10.5703125" style="7" bestFit="1" customWidth="1"/>
    <col min="19" max="30" width="10.5703125" style="1" bestFit="1" customWidth="1"/>
    <col min="31" max="39" width="10.140625" style="1" bestFit="1" customWidth="1"/>
    <col min="40" max="61" width="10.28515625" style="1" bestFit="1" customWidth="1"/>
    <col min="62" max="70" width="10.140625" style="1" bestFit="1" customWidth="1"/>
    <col min="71" max="92" width="10.85546875" style="1" bestFit="1" customWidth="1"/>
    <col min="93" max="101" width="10.140625" style="1" bestFit="1" customWidth="1"/>
    <col min="102" max="122" width="10.5703125" style="1" bestFit="1" customWidth="1"/>
    <col min="123" max="131" width="9.42578125" style="1" bestFit="1" customWidth="1"/>
    <col min="132" max="153" width="10.42578125" style="1" bestFit="1" customWidth="1"/>
    <col min="154" max="162" width="9.28515625" style="1" bestFit="1" customWidth="1"/>
    <col min="163" max="183" width="10.7109375" style="1" bestFit="1" customWidth="1"/>
    <col min="184" max="184" width="10.140625" style="1" bestFit="1" customWidth="1"/>
    <col min="185" max="185" width="9.5703125" style="1" bestFit="1" customWidth="1"/>
    <col min="186" max="188" width="10.140625" style="1" bestFit="1" customWidth="1"/>
    <col min="189" max="189" width="9.5703125" style="1" bestFit="1" customWidth="1"/>
    <col min="190" max="190" width="10.140625" style="1" bestFit="1" customWidth="1"/>
    <col min="191" max="192" width="9.5703125" style="1" bestFit="1" customWidth="1"/>
    <col min="193" max="214" width="10.5703125" style="1" bestFit="1" customWidth="1"/>
    <col min="215" max="215" width="9.42578125" style="1" bestFit="1" customWidth="1"/>
    <col min="216" max="217" width="10.140625" style="1" bestFit="1" customWidth="1"/>
    <col min="218" max="219" width="6.140625" style="1" bestFit="1" customWidth="1"/>
    <col min="220" max="222" width="9.85546875" style="1" customWidth="1"/>
    <col min="223" max="224" width="6.140625" style="1" bestFit="1" customWidth="1"/>
    <col min="225" max="231" width="7" style="1" customWidth="1"/>
    <col min="232" max="16384" width="14.42578125" style="1"/>
  </cols>
  <sheetData>
    <row r="1" spans="1:23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X1" s="3"/>
      <c r="AP1" s="9"/>
      <c r="FT1" s="8"/>
    </row>
    <row r="2" spans="1:231" x14ac:dyDescent="0.25">
      <c r="B2" s="2" t="s">
        <v>58</v>
      </c>
      <c r="C2" s="2"/>
      <c r="D2" s="10" t="s">
        <v>59</v>
      </c>
      <c r="E2" s="5">
        <f>DISTRIBUTIONS!G10</f>
        <v>43896</v>
      </c>
      <c r="F2" s="5">
        <f>DISTRIBUTIONS!H10</f>
        <v>43895</v>
      </c>
      <c r="G2" s="5">
        <f>DISTRIBUTIONS!I10</f>
        <v>43894</v>
      </c>
      <c r="H2" s="5">
        <f>DISTRIBUTIONS!J10</f>
        <v>43893</v>
      </c>
      <c r="I2" s="5">
        <f>DISTRIBUTIONS!K10</f>
        <v>43892</v>
      </c>
      <c r="J2" s="5">
        <f>DISTRIBUTIONS!L10</f>
        <v>43891</v>
      </c>
      <c r="K2" s="5">
        <f>DISTRIBUTIONS!M10</f>
        <v>43890</v>
      </c>
      <c r="L2" s="5">
        <f>DISTRIBUTIONS!N10</f>
        <v>43889</v>
      </c>
      <c r="M2" s="5">
        <f>DISTRIBUTIONS!O10</f>
        <v>43888</v>
      </c>
      <c r="N2" s="5">
        <f>DISTRIBUTIONS!P10</f>
        <v>43887</v>
      </c>
      <c r="O2" s="5">
        <f>DISTRIBUTIONS!Q10</f>
        <v>43886</v>
      </c>
      <c r="P2" s="5">
        <f>DISTRIBUTIONS!R10</f>
        <v>43885</v>
      </c>
      <c r="Q2" s="5">
        <f>DISTRIBUTIONS!S10</f>
        <v>43884</v>
      </c>
      <c r="R2" s="5">
        <f>DISTRIBUTIONS!T10</f>
        <v>43883</v>
      </c>
      <c r="S2" s="5">
        <f>DISTRIBUTIONS!U10</f>
        <v>43882</v>
      </c>
      <c r="T2" s="5">
        <f>DISTRIBUTIONS!V10</f>
        <v>43881</v>
      </c>
      <c r="U2" s="5">
        <f>DISTRIBUTIONS!W10</f>
        <v>43880</v>
      </c>
      <c r="V2" s="5">
        <f>DISTRIBUTIONS!X10</f>
        <v>43879</v>
      </c>
      <c r="W2" s="5">
        <f>DISTRIBUTIONS!Y10</f>
        <v>43878</v>
      </c>
      <c r="X2" s="5">
        <f>DISTRIBUTIONS!Z10</f>
        <v>43877</v>
      </c>
      <c r="Y2" s="5">
        <f>DISTRIBUTIONS!AA10</f>
        <v>43876</v>
      </c>
      <c r="Z2" s="5">
        <f>DISTRIBUTIONS!AB10</f>
        <v>43875</v>
      </c>
      <c r="AA2" s="5">
        <f>DISTRIBUTIONS!AC10</f>
        <v>43874</v>
      </c>
      <c r="AB2" s="5">
        <f>DISTRIBUTIONS!AD10</f>
        <v>43873</v>
      </c>
      <c r="AC2" s="5">
        <f>DISTRIBUTIONS!AE10</f>
        <v>43872</v>
      </c>
      <c r="AD2" s="5">
        <f>DISTRIBUTIONS!AF10</f>
        <v>43871</v>
      </c>
      <c r="AE2" s="5">
        <f>DISTRIBUTIONS!AG10</f>
        <v>43870</v>
      </c>
      <c r="AF2" s="5">
        <f>DISTRIBUTIONS!AH10</f>
        <v>43869</v>
      </c>
      <c r="AG2" s="5">
        <f>DISTRIBUTIONS!AI10</f>
        <v>43868</v>
      </c>
      <c r="AH2" s="5">
        <f>DISTRIBUTIONS!AJ10</f>
        <v>43867</v>
      </c>
      <c r="AI2" s="5">
        <f>DISTRIBUTIONS!AK10</f>
        <v>43866</v>
      </c>
      <c r="AJ2" s="5">
        <f>DISTRIBUTIONS!AL10</f>
        <v>43865</v>
      </c>
      <c r="AK2" s="5">
        <f>DISTRIBUTIONS!AM10</f>
        <v>43864</v>
      </c>
      <c r="AL2" s="5">
        <f>DISTRIBUTIONS!AN10</f>
        <v>43863</v>
      </c>
      <c r="AM2" s="5">
        <f>DISTRIBUTIONS!AO10</f>
        <v>43862</v>
      </c>
      <c r="AN2" s="5">
        <f>DISTRIBUTIONS!AP10</f>
        <v>43861</v>
      </c>
      <c r="AO2" s="5">
        <f>DISTRIBUTIONS!AQ10</f>
        <v>43860</v>
      </c>
      <c r="AP2" s="5">
        <f>DISTRIBUTIONS!AR10</f>
        <v>43859</v>
      </c>
      <c r="AQ2" s="5">
        <f>DISTRIBUTIONS!AS10</f>
        <v>43858</v>
      </c>
      <c r="AR2" s="5">
        <f>DISTRIBUTIONS!AT10</f>
        <v>43857</v>
      </c>
      <c r="AS2" s="5">
        <f>DISTRIBUTIONS!AU10</f>
        <v>43856</v>
      </c>
      <c r="AT2" s="5">
        <f>DISTRIBUTIONS!AV10</f>
        <v>43855</v>
      </c>
      <c r="AU2" s="5">
        <f>DISTRIBUTIONS!AW10</f>
        <v>43854</v>
      </c>
      <c r="AV2" s="5">
        <f>DISTRIBUTIONS!AX10</f>
        <v>43853</v>
      </c>
      <c r="AW2" s="5">
        <f>DISTRIBUTIONS!AY10</f>
        <v>43852</v>
      </c>
      <c r="AX2" s="5">
        <f>DISTRIBUTIONS!AZ10</f>
        <v>43851</v>
      </c>
      <c r="AY2" s="5">
        <f>DISTRIBUTIONS!BA10</f>
        <v>43850</v>
      </c>
      <c r="AZ2" s="5">
        <f>DISTRIBUTIONS!BB10</f>
        <v>43849</v>
      </c>
      <c r="BA2" s="5">
        <f>DISTRIBUTIONS!BC10</f>
        <v>43848</v>
      </c>
      <c r="BB2" s="5">
        <f>DISTRIBUTIONS!BD10</f>
        <v>43847</v>
      </c>
      <c r="BC2" s="5">
        <f>DISTRIBUTIONS!BE10</f>
        <v>43846</v>
      </c>
      <c r="BD2" s="5">
        <f>DISTRIBUTIONS!BF10</f>
        <v>43845</v>
      </c>
      <c r="BE2" s="5">
        <f>DISTRIBUTIONS!BG10</f>
        <v>43844</v>
      </c>
      <c r="BF2" s="5">
        <f>DISTRIBUTIONS!BH10</f>
        <v>43843</v>
      </c>
      <c r="BG2" s="5">
        <f>DISTRIBUTIONS!BI10</f>
        <v>43842</v>
      </c>
      <c r="BH2" s="5">
        <f>DISTRIBUTIONS!BJ10</f>
        <v>43841</v>
      </c>
      <c r="BI2" s="5">
        <f>DISTRIBUTIONS!BK10</f>
        <v>43840</v>
      </c>
      <c r="BJ2" s="5">
        <f>DISTRIBUTIONS!BL10</f>
        <v>43839</v>
      </c>
      <c r="BK2" s="5">
        <f>DISTRIBUTIONS!BM10</f>
        <v>43838</v>
      </c>
      <c r="BL2" s="5">
        <f>DISTRIBUTIONS!BN10</f>
        <v>43837</v>
      </c>
      <c r="BM2" s="5">
        <f>DISTRIBUTIONS!BO10</f>
        <v>43836</v>
      </c>
      <c r="BN2" s="5">
        <f>DISTRIBUTIONS!BP10</f>
        <v>43835</v>
      </c>
      <c r="BO2" s="5">
        <f>DISTRIBUTIONS!BQ10</f>
        <v>43834</v>
      </c>
      <c r="BP2" s="5">
        <f>DISTRIBUTIONS!BR10</f>
        <v>43833</v>
      </c>
      <c r="BQ2" s="5">
        <f>DISTRIBUTIONS!BS10</f>
        <v>43832</v>
      </c>
      <c r="BR2" s="5">
        <f>DISTRIBUTIONS!BT10</f>
        <v>43831</v>
      </c>
      <c r="BS2" s="5">
        <f>DISTRIBUTIONS!BU10</f>
        <v>43830</v>
      </c>
      <c r="BT2" s="5">
        <f>DISTRIBUTIONS!BV10</f>
        <v>43829</v>
      </c>
      <c r="BU2" s="5">
        <f>DISTRIBUTIONS!BW10</f>
        <v>43828</v>
      </c>
      <c r="BV2" s="5">
        <f>DISTRIBUTIONS!BX10</f>
        <v>43827</v>
      </c>
      <c r="BW2" s="5">
        <f>DISTRIBUTIONS!BY10</f>
        <v>43826</v>
      </c>
      <c r="BX2" s="5">
        <f>DISTRIBUTIONS!BZ10</f>
        <v>43825</v>
      </c>
      <c r="BY2" s="5">
        <f>DISTRIBUTIONS!CA10</f>
        <v>43824</v>
      </c>
      <c r="BZ2" s="5">
        <f>DISTRIBUTIONS!CB10</f>
        <v>43823</v>
      </c>
      <c r="CA2" s="5">
        <f>DISTRIBUTIONS!CC10</f>
        <v>43822</v>
      </c>
      <c r="CB2" s="5">
        <f>DISTRIBUTIONS!CD10</f>
        <v>43821</v>
      </c>
      <c r="CC2" s="5">
        <f>DISTRIBUTIONS!CE10</f>
        <v>43820</v>
      </c>
      <c r="CD2" s="5">
        <f>DISTRIBUTIONS!CF10</f>
        <v>43819</v>
      </c>
      <c r="CE2" s="5">
        <f>DISTRIBUTIONS!CG10</f>
        <v>43818</v>
      </c>
      <c r="CF2" s="5">
        <f>DISTRIBUTIONS!CH10</f>
        <v>43817</v>
      </c>
      <c r="CG2" s="5">
        <f>DISTRIBUTIONS!CI10</f>
        <v>43816</v>
      </c>
      <c r="CH2" s="5">
        <f>DISTRIBUTIONS!CJ10</f>
        <v>43815</v>
      </c>
      <c r="CI2" s="5">
        <f>DISTRIBUTIONS!CK10</f>
        <v>43814</v>
      </c>
      <c r="CJ2" s="5">
        <f>DISTRIBUTIONS!CL10</f>
        <v>43813</v>
      </c>
      <c r="CK2" s="5">
        <f>DISTRIBUTIONS!CM10</f>
        <v>43812</v>
      </c>
      <c r="CL2" s="5">
        <f>DISTRIBUTIONS!CN10</f>
        <v>43811</v>
      </c>
      <c r="CM2" s="5">
        <f>DISTRIBUTIONS!CO10</f>
        <v>43810</v>
      </c>
      <c r="CN2" s="5">
        <f>DISTRIBUTIONS!CP10</f>
        <v>43809</v>
      </c>
      <c r="CO2" s="5">
        <f>DISTRIBUTIONS!CQ10</f>
        <v>43808</v>
      </c>
      <c r="CP2" s="5">
        <f>DISTRIBUTIONS!CR10</f>
        <v>43807</v>
      </c>
      <c r="CQ2" s="5">
        <f>DISTRIBUTIONS!CS10</f>
        <v>43806</v>
      </c>
      <c r="CR2" s="5">
        <f>DISTRIBUTIONS!CT10</f>
        <v>43805</v>
      </c>
      <c r="CS2" s="5">
        <f>DISTRIBUTIONS!CU10</f>
        <v>43804</v>
      </c>
      <c r="CT2" s="5">
        <f>DISTRIBUTIONS!CV10</f>
        <v>43803</v>
      </c>
      <c r="CU2" s="5">
        <f>DISTRIBUTIONS!CW10</f>
        <v>43802</v>
      </c>
      <c r="CV2" s="5">
        <f>DISTRIBUTIONS!CX10</f>
        <v>43801</v>
      </c>
      <c r="CW2" s="5">
        <f>DISTRIBUTIONS!CY10</f>
        <v>43800</v>
      </c>
      <c r="CX2" s="5">
        <f>DISTRIBUTIONS!CZ10</f>
        <v>43799</v>
      </c>
      <c r="CY2" s="5">
        <f>DISTRIBUTIONS!DA10</f>
        <v>43798</v>
      </c>
      <c r="CZ2" s="5">
        <f>DISTRIBUTIONS!DB10</f>
        <v>43797</v>
      </c>
      <c r="DA2" s="5">
        <f>DISTRIBUTIONS!DC10</f>
        <v>43796</v>
      </c>
      <c r="DB2" s="5">
        <f>DISTRIBUTIONS!DD10</f>
        <v>43795</v>
      </c>
      <c r="DC2" s="5">
        <f>DISTRIBUTIONS!DE10</f>
        <v>43794</v>
      </c>
      <c r="DD2" s="5">
        <f>DISTRIBUTIONS!DF10</f>
        <v>43793</v>
      </c>
      <c r="DE2" s="5">
        <f>DISTRIBUTIONS!DG10</f>
        <v>43792</v>
      </c>
      <c r="DF2" s="5">
        <f>DISTRIBUTIONS!DH10</f>
        <v>43791</v>
      </c>
      <c r="DG2" s="5">
        <f>DISTRIBUTIONS!DI10</f>
        <v>43790</v>
      </c>
      <c r="DH2" s="5">
        <f>DISTRIBUTIONS!DJ10</f>
        <v>43789</v>
      </c>
      <c r="DI2" s="5">
        <f>DISTRIBUTIONS!DK10</f>
        <v>43788</v>
      </c>
      <c r="DJ2" s="5">
        <f>DISTRIBUTIONS!DL10</f>
        <v>43787</v>
      </c>
      <c r="DK2" s="5">
        <f>DISTRIBUTIONS!DM10</f>
        <v>43786</v>
      </c>
      <c r="DL2" s="5">
        <f>DISTRIBUTIONS!DN10</f>
        <v>43785</v>
      </c>
      <c r="DM2" s="5">
        <f>DISTRIBUTIONS!DO10</f>
        <v>43784</v>
      </c>
      <c r="DN2" s="5">
        <f>DISTRIBUTIONS!DP10</f>
        <v>43783</v>
      </c>
      <c r="DO2" s="5">
        <f>DISTRIBUTIONS!DQ10</f>
        <v>43782</v>
      </c>
      <c r="DP2" s="5">
        <f>DISTRIBUTIONS!DR10</f>
        <v>43781</v>
      </c>
      <c r="DQ2" s="5">
        <f>DISTRIBUTIONS!DS10</f>
        <v>43780</v>
      </c>
      <c r="DR2" s="5">
        <f>DISTRIBUTIONS!DT10</f>
        <v>43779</v>
      </c>
      <c r="DS2" s="5">
        <f>DISTRIBUTIONS!DU10</f>
        <v>43778</v>
      </c>
      <c r="DT2" s="5">
        <f>DISTRIBUTIONS!DV10</f>
        <v>43777</v>
      </c>
      <c r="DU2" s="5">
        <f>DISTRIBUTIONS!DW10</f>
        <v>43776</v>
      </c>
      <c r="DV2" s="5">
        <f>DISTRIBUTIONS!DX10</f>
        <v>43775</v>
      </c>
      <c r="DW2" s="5">
        <f>DISTRIBUTIONS!DY10</f>
        <v>43774</v>
      </c>
      <c r="DX2" s="5">
        <f>DISTRIBUTIONS!DZ10</f>
        <v>43773</v>
      </c>
      <c r="DY2" s="5">
        <f>DISTRIBUTIONS!EA10</f>
        <v>43772</v>
      </c>
      <c r="DZ2" s="5">
        <f>DISTRIBUTIONS!EB10</f>
        <v>43771</v>
      </c>
      <c r="EA2" s="5">
        <f>DISTRIBUTIONS!EC10</f>
        <v>43770</v>
      </c>
      <c r="EB2" s="5">
        <f>DISTRIBUTIONS!ED10</f>
        <v>43769</v>
      </c>
      <c r="EC2" s="5">
        <f>DISTRIBUTIONS!EE10</f>
        <v>43768</v>
      </c>
      <c r="ED2" s="5">
        <f>DISTRIBUTIONS!EF10</f>
        <v>43767</v>
      </c>
      <c r="EE2" s="5">
        <f>DISTRIBUTIONS!EG10</f>
        <v>43766</v>
      </c>
      <c r="EF2" s="5">
        <f>DISTRIBUTIONS!EH10</f>
        <v>43765</v>
      </c>
      <c r="EG2" s="5">
        <f>DISTRIBUTIONS!EI10</f>
        <v>43764</v>
      </c>
      <c r="EH2" s="5">
        <f>DISTRIBUTIONS!EJ10</f>
        <v>43763</v>
      </c>
      <c r="EI2" s="5">
        <f>DISTRIBUTIONS!EK10</f>
        <v>43762</v>
      </c>
      <c r="EJ2" s="5">
        <f>DISTRIBUTIONS!EL10</f>
        <v>43761</v>
      </c>
      <c r="EK2" s="5">
        <f>DISTRIBUTIONS!EM10</f>
        <v>43760</v>
      </c>
      <c r="EL2" s="5">
        <f>DISTRIBUTIONS!EN10</f>
        <v>43759</v>
      </c>
      <c r="EM2" s="5">
        <f>DISTRIBUTIONS!EO10</f>
        <v>43758</v>
      </c>
      <c r="EN2" s="5">
        <f>DISTRIBUTIONS!EP10</f>
        <v>43757</v>
      </c>
      <c r="EO2" s="5">
        <f>DISTRIBUTIONS!EQ10</f>
        <v>43756</v>
      </c>
      <c r="EP2" s="5">
        <f>DISTRIBUTIONS!ER10</f>
        <v>43755</v>
      </c>
      <c r="EQ2" s="5">
        <f>DISTRIBUTIONS!ES10</f>
        <v>43754</v>
      </c>
      <c r="ER2" s="5">
        <f>DISTRIBUTIONS!ET10</f>
        <v>43753</v>
      </c>
      <c r="ES2" s="5">
        <f>DISTRIBUTIONS!EU10</f>
        <v>43752</v>
      </c>
      <c r="ET2" s="5">
        <f>DISTRIBUTIONS!EV10</f>
        <v>43751</v>
      </c>
      <c r="EU2" s="5">
        <f>DISTRIBUTIONS!EW10</f>
        <v>43750</v>
      </c>
      <c r="EV2" s="5">
        <f>DISTRIBUTIONS!EX10</f>
        <v>43749</v>
      </c>
      <c r="EW2" s="5">
        <f>DISTRIBUTIONS!EY10</f>
        <v>43748</v>
      </c>
      <c r="EX2" s="5">
        <f>DISTRIBUTIONS!EZ10</f>
        <v>43747</v>
      </c>
      <c r="EY2" s="5">
        <f>DISTRIBUTIONS!FA10</f>
        <v>43746</v>
      </c>
      <c r="EZ2" s="5">
        <f>DISTRIBUTIONS!FB10</f>
        <v>43745</v>
      </c>
      <c r="FA2" s="5">
        <f>DISTRIBUTIONS!FC10</f>
        <v>43744</v>
      </c>
      <c r="FB2" s="5">
        <f>DISTRIBUTIONS!FD10</f>
        <v>43743</v>
      </c>
      <c r="FC2" s="5">
        <f>DISTRIBUTIONS!FE10</f>
        <v>43742</v>
      </c>
      <c r="FD2" s="5">
        <f>DISTRIBUTIONS!FF10</f>
        <v>43741</v>
      </c>
      <c r="FE2" s="5">
        <f>DISTRIBUTIONS!FG10</f>
        <v>43740</v>
      </c>
      <c r="FF2" s="5">
        <f>DISTRIBUTIONS!FH10</f>
        <v>43739</v>
      </c>
      <c r="FG2" s="5">
        <f>DISTRIBUTIONS!FI10</f>
        <v>43738</v>
      </c>
      <c r="FH2" s="5">
        <f>DISTRIBUTIONS!FJ10</f>
        <v>43737</v>
      </c>
      <c r="FI2" s="5">
        <f>DISTRIBUTIONS!FK10</f>
        <v>43736</v>
      </c>
      <c r="FJ2" s="5">
        <f>DISTRIBUTIONS!FL10</f>
        <v>43735</v>
      </c>
      <c r="FK2" s="5">
        <f>DISTRIBUTIONS!FM10</f>
        <v>43734</v>
      </c>
      <c r="FL2" s="5">
        <f>DISTRIBUTIONS!FN10</f>
        <v>43733</v>
      </c>
      <c r="FM2" s="5">
        <f>DISTRIBUTIONS!FO10</f>
        <v>43732</v>
      </c>
      <c r="FN2" s="5">
        <f>DISTRIBUTIONS!FP10</f>
        <v>43731</v>
      </c>
      <c r="FO2" s="5">
        <f>DISTRIBUTIONS!FQ10</f>
        <v>43730</v>
      </c>
      <c r="FP2" s="5">
        <f>DISTRIBUTIONS!FR10</f>
        <v>43729</v>
      </c>
      <c r="FQ2" s="5">
        <f>DISTRIBUTIONS!FS10</f>
        <v>43728</v>
      </c>
      <c r="FR2" s="5">
        <f>DISTRIBUTIONS!FT10</f>
        <v>43727</v>
      </c>
      <c r="FS2" s="5">
        <f>DISTRIBUTIONS!FU10</f>
        <v>43726</v>
      </c>
      <c r="FT2" s="5">
        <f>DISTRIBUTIONS!FV10</f>
        <v>43725</v>
      </c>
      <c r="FU2" s="5">
        <f>DISTRIBUTIONS!FW10</f>
        <v>43724</v>
      </c>
      <c r="FV2" s="5">
        <f>DISTRIBUTIONS!FX10</f>
        <v>43723</v>
      </c>
      <c r="FW2" s="5">
        <f>DISTRIBUTIONS!FY10</f>
        <v>43722</v>
      </c>
      <c r="FX2" s="5">
        <f>DISTRIBUTIONS!FZ10</f>
        <v>43721</v>
      </c>
      <c r="FY2" s="5">
        <f>DISTRIBUTIONS!GA10</f>
        <v>43720</v>
      </c>
      <c r="FZ2" s="5">
        <f>DISTRIBUTIONS!GB10</f>
        <v>43719</v>
      </c>
      <c r="GA2" s="5">
        <f>DISTRIBUTIONS!GC10</f>
        <v>43718</v>
      </c>
      <c r="GB2" s="5">
        <f>DISTRIBUTIONS!GD10</f>
        <v>43717</v>
      </c>
      <c r="GC2" s="5">
        <f>DISTRIBUTIONS!GE10</f>
        <v>43716</v>
      </c>
      <c r="GD2" s="5">
        <f>DISTRIBUTIONS!GF10</f>
        <v>43715</v>
      </c>
      <c r="GE2" s="5">
        <f>DISTRIBUTIONS!GG10</f>
        <v>43714</v>
      </c>
      <c r="GF2" s="5">
        <f>DISTRIBUTIONS!GH10</f>
        <v>43713</v>
      </c>
      <c r="GG2" s="5">
        <f>DISTRIBUTIONS!GI10</f>
        <v>43712</v>
      </c>
      <c r="GH2" s="5">
        <f>DISTRIBUTIONS!GJ10</f>
        <v>43711</v>
      </c>
      <c r="GI2" s="5">
        <f>DISTRIBUTIONS!GK10</f>
        <v>43710</v>
      </c>
      <c r="GJ2" s="5">
        <f>DISTRIBUTIONS!GL10</f>
        <v>43709</v>
      </c>
      <c r="GK2" s="5">
        <f>DISTRIBUTIONS!GM10</f>
        <v>43708</v>
      </c>
      <c r="GL2" s="5">
        <f>DISTRIBUTIONS!GN10</f>
        <v>43707</v>
      </c>
      <c r="GM2" s="5">
        <f>DISTRIBUTIONS!GO10</f>
        <v>43706</v>
      </c>
      <c r="GN2" s="5">
        <f>DISTRIBUTIONS!GP10</f>
        <v>43705</v>
      </c>
      <c r="GO2" s="5">
        <f>DISTRIBUTIONS!GQ10</f>
        <v>43704</v>
      </c>
      <c r="GP2" s="5">
        <f>DISTRIBUTIONS!GR10</f>
        <v>43703</v>
      </c>
      <c r="GQ2" s="5">
        <f>DISTRIBUTIONS!GS10</f>
        <v>43702</v>
      </c>
      <c r="GR2" s="5">
        <f>DISTRIBUTIONS!GT10</f>
        <v>43701</v>
      </c>
      <c r="GS2" s="5">
        <f>DISTRIBUTIONS!GU10</f>
        <v>43700</v>
      </c>
      <c r="GT2" s="5">
        <f>DISTRIBUTIONS!GV10</f>
        <v>43699</v>
      </c>
      <c r="GU2" s="5">
        <f>DISTRIBUTIONS!GW10</f>
        <v>43698</v>
      </c>
      <c r="GV2" s="5">
        <f>DISTRIBUTIONS!GX10</f>
        <v>43697</v>
      </c>
      <c r="GW2" s="5">
        <f>DISTRIBUTIONS!GY10</f>
        <v>43696</v>
      </c>
      <c r="GX2" s="5">
        <f>DISTRIBUTIONS!GZ10</f>
        <v>43695</v>
      </c>
      <c r="GY2" s="5">
        <f>DISTRIBUTIONS!HA10</f>
        <v>43694</v>
      </c>
      <c r="GZ2" s="5">
        <f>DISTRIBUTIONS!HB10</f>
        <v>43693</v>
      </c>
      <c r="HA2" s="5">
        <f>DISTRIBUTIONS!HC10</f>
        <v>43692</v>
      </c>
      <c r="HB2" s="5">
        <f>DISTRIBUTIONS!HD10</f>
        <v>43691</v>
      </c>
      <c r="HC2" s="5">
        <f>DISTRIBUTIONS!HE10</f>
        <v>43690</v>
      </c>
      <c r="HD2" s="5">
        <f>DISTRIBUTIONS!HF10</f>
        <v>43689</v>
      </c>
      <c r="HE2" s="5">
        <f>DISTRIBUTIONS!HG10</f>
        <v>43688</v>
      </c>
      <c r="HF2" s="5">
        <f>DISTRIBUTIONS!HH10</f>
        <v>43687</v>
      </c>
      <c r="HG2" s="5">
        <f>DISTRIBUTIONS!HI10</f>
        <v>43686</v>
      </c>
      <c r="HH2" s="5">
        <f>DISTRIBUTIONS!HJ10</f>
        <v>43685</v>
      </c>
      <c r="HI2" s="5">
        <f>DISTRIBUTIONS!HK10</f>
        <v>43684</v>
      </c>
      <c r="HJ2" s="5"/>
      <c r="HK2" s="5"/>
    </row>
    <row r="3" spans="1:231" x14ac:dyDescent="0.25">
      <c r="A3" s="1" t="s">
        <v>86</v>
      </c>
      <c r="B3" s="11">
        <f>SUM(E3:HK3)</f>
        <v>139921.94430000006</v>
      </c>
      <c r="C3" s="12"/>
      <c r="D3" s="13" t="s">
        <v>94</v>
      </c>
      <c r="E3" s="6">
        <f>DISTRIBUTIONS!G11</f>
        <v>480</v>
      </c>
      <c r="F3" s="6">
        <f>DISTRIBUTIONS!H11</f>
        <v>504</v>
      </c>
      <c r="G3" s="6">
        <f>DISTRIBUTIONS!I11</f>
        <v>0</v>
      </c>
      <c r="H3" s="6">
        <f>DISTRIBUTIONS!J11</f>
        <v>173</v>
      </c>
      <c r="I3" s="6">
        <f>DISTRIBUTIONS!K11</f>
        <v>607</v>
      </c>
      <c r="J3" s="6">
        <f>DISTRIBUTIONS!L11</f>
        <v>0</v>
      </c>
      <c r="K3" s="6">
        <f>DISTRIBUTIONS!M11</f>
        <v>379.45000000000005</v>
      </c>
      <c r="L3" s="6">
        <f>DISTRIBUTIONS!N11</f>
        <v>394.8</v>
      </c>
      <c r="M3" s="6">
        <f>DISTRIBUTIONS!O11</f>
        <v>629.05999999999995</v>
      </c>
      <c r="N3" s="6">
        <f>DISTRIBUTIONS!P11</f>
        <v>154</v>
      </c>
      <c r="O3" s="6">
        <f>DISTRIBUTIONS!Q11</f>
        <v>340</v>
      </c>
      <c r="P3" s="6">
        <f>DISTRIBUTIONS!R11</f>
        <v>1195</v>
      </c>
      <c r="Q3" s="6">
        <f>DISTRIBUTIONS!S11</f>
        <v>1049</v>
      </c>
      <c r="R3" s="6">
        <f>DISTRIBUTIONS!T11</f>
        <v>0</v>
      </c>
      <c r="S3" s="6">
        <f>DISTRIBUTIONS!U11</f>
        <v>0</v>
      </c>
      <c r="T3" s="6">
        <f>DISTRIBUTIONS!V11</f>
        <v>0</v>
      </c>
      <c r="U3" s="6">
        <f>DISTRIBUTIONS!W11</f>
        <v>0</v>
      </c>
      <c r="V3" s="6">
        <f>DISTRIBUTIONS!X11</f>
        <v>0</v>
      </c>
      <c r="W3" s="6">
        <f>DISTRIBUTIONS!Y11</f>
        <v>0</v>
      </c>
      <c r="X3" s="6">
        <f>DISTRIBUTIONS!Z11</f>
        <v>150</v>
      </c>
      <c r="Y3" s="6">
        <f>DISTRIBUTIONS!AA11</f>
        <v>331</v>
      </c>
      <c r="Z3" s="6">
        <f>DISTRIBUTIONS!AB11</f>
        <v>364</v>
      </c>
      <c r="AA3" s="6">
        <f>DISTRIBUTIONS!AC11</f>
        <v>300.60000000000002</v>
      </c>
      <c r="AB3" s="6">
        <f>DISTRIBUTIONS!AD11</f>
        <v>468</v>
      </c>
      <c r="AC3" s="6">
        <f>DISTRIBUTIONS!AE11</f>
        <v>717</v>
      </c>
      <c r="AD3" s="6">
        <f>DISTRIBUTIONS!AF11</f>
        <v>757</v>
      </c>
      <c r="AE3" s="6">
        <f>DISTRIBUTIONS!AG11</f>
        <v>1562</v>
      </c>
      <c r="AF3" s="6">
        <f>DISTRIBUTIONS!AH11</f>
        <v>439</v>
      </c>
      <c r="AG3" s="6">
        <f>DISTRIBUTIONS!AI11</f>
        <v>996</v>
      </c>
      <c r="AH3" s="6">
        <f>DISTRIBUTIONS!AJ11</f>
        <v>1086</v>
      </c>
      <c r="AI3" s="6">
        <f>DISTRIBUTIONS!AK11</f>
        <v>623</v>
      </c>
      <c r="AJ3" s="6">
        <f>DISTRIBUTIONS!AL11</f>
        <v>243</v>
      </c>
      <c r="AK3" s="6">
        <f>DISTRIBUTIONS!AM11</f>
        <v>0</v>
      </c>
      <c r="AL3" s="6">
        <f>DISTRIBUTIONS!AN11</f>
        <v>0</v>
      </c>
      <c r="AM3" s="6">
        <f>DISTRIBUTIONS!AO11</f>
        <v>0</v>
      </c>
      <c r="AN3" s="6">
        <f>DISTRIBUTIONS!AP11</f>
        <v>0</v>
      </c>
      <c r="AO3" s="6">
        <f>DISTRIBUTIONS!AQ11</f>
        <v>0</v>
      </c>
      <c r="AP3" s="6">
        <f>DISTRIBUTIONS!AR11</f>
        <v>0</v>
      </c>
      <c r="AQ3" s="6">
        <f>DISTRIBUTIONS!AS11</f>
        <v>0</v>
      </c>
      <c r="AR3" s="6">
        <f>DISTRIBUTIONS!AT11</f>
        <v>0</v>
      </c>
      <c r="AS3" s="6">
        <f>DISTRIBUTIONS!AU11</f>
        <v>0</v>
      </c>
      <c r="AT3" s="6">
        <f>DISTRIBUTIONS!AV11</f>
        <v>0</v>
      </c>
      <c r="AU3" s="6">
        <f>DISTRIBUTIONS!AW11</f>
        <v>0</v>
      </c>
      <c r="AV3" s="6">
        <f>DISTRIBUTIONS!AX11</f>
        <v>0</v>
      </c>
      <c r="AW3" s="6">
        <f>DISTRIBUTIONS!AY11</f>
        <v>0</v>
      </c>
      <c r="AX3" s="6">
        <f>DISTRIBUTIONS!AZ11</f>
        <v>0</v>
      </c>
      <c r="AY3" s="6">
        <f>DISTRIBUTIONS!BA11</f>
        <v>0</v>
      </c>
      <c r="AZ3" s="6">
        <f>DISTRIBUTIONS!BB11</f>
        <v>201</v>
      </c>
      <c r="BA3" s="6">
        <f>DISTRIBUTIONS!BC11</f>
        <v>0</v>
      </c>
      <c r="BB3" s="6">
        <f>DISTRIBUTIONS!BD11</f>
        <v>812</v>
      </c>
      <c r="BC3" s="6">
        <f>DISTRIBUTIONS!BE11</f>
        <v>490</v>
      </c>
      <c r="BD3" s="6">
        <f>DISTRIBUTIONS!BF11</f>
        <v>724</v>
      </c>
      <c r="BE3" s="6">
        <f>DISTRIBUTIONS!BG11</f>
        <v>192</v>
      </c>
      <c r="BF3" s="6">
        <f>DISTRIBUTIONS!BH11</f>
        <v>602</v>
      </c>
      <c r="BG3" s="6">
        <f>DISTRIBUTIONS!BI11</f>
        <v>1192.5</v>
      </c>
      <c r="BH3" s="6">
        <f>DISTRIBUTIONS!BJ11</f>
        <v>428</v>
      </c>
      <c r="BI3" s="6">
        <f>DISTRIBUTIONS!BK11</f>
        <v>128</v>
      </c>
      <c r="BJ3" s="6">
        <f>DISTRIBUTIONS!BL11</f>
        <v>370</v>
      </c>
      <c r="BK3" s="6">
        <f>DISTRIBUTIONS!BM11</f>
        <v>209.54</v>
      </c>
      <c r="BL3" s="6">
        <f>DISTRIBUTIONS!BN11</f>
        <v>20</v>
      </c>
      <c r="BM3" s="6">
        <f>DISTRIBUTIONS!BO11</f>
        <v>365</v>
      </c>
      <c r="BN3" s="6">
        <f>DISTRIBUTIONS!BP11</f>
        <v>358</v>
      </c>
      <c r="BO3" s="6">
        <f>DISTRIBUTIONS!BQ11</f>
        <v>0</v>
      </c>
      <c r="BP3" s="6">
        <f>DISTRIBUTIONS!BR11</f>
        <v>263</v>
      </c>
      <c r="BQ3" s="6">
        <f>DISTRIBUTIONS!BS11</f>
        <v>226</v>
      </c>
      <c r="BR3" s="6">
        <f>DISTRIBUTIONS!BT11</f>
        <v>681</v>
      </c>
      <c r="BS3" s="6">
        <f>DISTRIBUTIONS!BU11</f>
        <v>0</v>
      </c>
      <c r="BT3" s="6">
        <f>DISTRIBUTIONS!BV11</f>
        <v>0</v>
      </c>
      <c r="BU3" s="6">
        <f>DISTRIBUTIONS!BW11</f>
        <v>0</v>
      </c>
      <c r="BV3" s="6">
        <f>DISTRIBUTIONS!BX11</f>
        <v>86</v>
      </c>
      <c r="BW3" s="6">
        <f>DISTRIBUTIONS!BY11</f>
        <v>283</v>
      </c>
      <c r="BX3" s="6">
        <f>DISTRIBUTIONS!BZ11</f>
        <v>213</v>
      </c>
      <c r="BY3" s="6">
        <f>DISTRIBUTIONS!CA11</f>
        <v>402</v>
      </c>
      <c r="BZ3" s="6">
        <f>DISTRIBUTIONS!CB11</f>
        <v>393</v>
      </c>
      <c r="CA3" s="6">
        <f>DISTRIBUTIONS!CC11</f>
        <v>0</v>
      </c>
      <c r="CB3" s="6">
        <f>DISTRIBUTIONS!CD11</f>
        <v>0</v>
      </c>
      <c r="CC3" s="6">
        <f>DISTRIBUTIONS!CE11</f>
        <v>0</v>
      </c>
      <c r="CD3" s="6">
        <f>DISTRIBUTIONS!CF11</f>
        <v>0</v>
      </c>
      <c r="CE3" s="6">
        <f>DISTRIBUTIONS!CG11</f>
        <v>0</v>
      </c>
      <c r="CF3" s="6">
        <f>DISTRIBUTIONS!CH11</f>
        <v>0</v>
      </c>
      <c r="CG3" s="6">
        <f>DISTRIBUTIONS!CI11</f>
        <v>0</v>
      </c>
      <c r="CH3" s="6">
        <f>DISTRIBUTIONS!CJ11</f>
        <v>63</v>
      </c>
      <c r="CI3" s="6">
        <f>DISTRIBUTIONS!CK11</f>
        <v>0</v>
      </c>
      <c r="CJ3" s="6">
        <f>DISTRIBUTIONS!CL11</f>
        <v>0</v>
      </c>
      <c r="CK3" s="6">
        <f>DISTRIBUTIONS!CM11</f>
        <v>0</v>
      </c>
      <c r="CL3" s="6">
        <f>DISTRIBUTIONS!CN11</f>
        <v>0</v>
      </c>
      <c r="CM3" s="6">
        <f>DISTRIBUTIONS!CO11</f>
        <v>0</v>
      </c>
      <c r="CN3" s="6">
        <f>DISTRIBUTIONS!CP11</f>
        <v>0</v>
      </c>
      <c r="CO3" s="6">
        <f>DISTRIBUTIONS!CQ11</f>
        <v>0</v>
      </c>
      <c r="CP3" s="6">
        <f>DISTRIBUTIONS!CR11</f>
        <v>0</v>
      </c>
      <c r="CQ3" s="6">
        <f>DISTRIBUTIONS!CS11</f>
        <v>55</v>
      </c>
      <c r="CR3" s="6">
        <f>DISTRIBUTIONS!CT11</f>
        <v>252.92</v>
      </c>
      <c r="CS3" s="6">
        <f>DISTRIBUTIONS!CU11</f>
        <v>317.90000000000003</v>
      </c>
      <c r="CT3" s="6">
        <f>DISTRIBUTIONS!CV11</f>
        <v>252.8</v>
      </c>
      <c r="CU3" s="6">
        <f>DISTRIBUTIONS!CW11</f>
        <v>165</v>
      </c>
      <c r="CV3" s="6">
        <f>DISTRIBUTIONS!CX11</f>
        <v>290</v>
      </c>
      <c r="CW3" s="6">
        <f>DISTRIBUTIONS!CY11</f>
        <v>104</v>
      </c>
      <c r="CX3" s="6">
        <f>DISTRIBUTIONS!CZ11</f>
        <v>0</v>
      </c>
      <c r="CY3" s="6">
        <f>DISTRIBUTIONS!DA11</f>
        <v>0</v>
      </c>
      <c r="CZ3" s="6">
        <f>DISTRIBUTIONS!DB11</f>
        <v>332</v>
      </c>
      <c r="DA3" s="6">
        <f>DISTRIBUTIONS!DC11</f>
        <v>156</v>
      </c>
      <c r="DB3" s="6">
        <f>DISTRIBUTIONS!DD11</f>
        <v>672</v>
      </c>
      <c r="DC3" s="6">
        <f>DISTRIBUTIONS!DE11</f>
        <v>593</v>
      </c>
      <c r="DD3" s="6">
        <f>DISTRIBUTIONS!DF11</f>
        <v>0</v>
      </c>
      <c r="DE3" s="6">
        <f>DISTRIBUTIONS!DG11</f>
        <v>594</v>
      </c>
      <c r="DF3" s="6">
        <f>DISTRIBUTIONS!DH11</f>
        <v>250</v>
      </c>
      <c r="DG3" s="6">
        <f>DISTRIBUTIONS!DI11</f>
        <v>571</v>
      </c>
      <c r="DH3" s="6">
        <f>DISTRIBUTIONS!DJ11</f>
        <v>1869.3550000000002</v>
      </c>
      <c r="DI3" s="6">
        <f>DISTRIBUTIONS!DK11</f>
        <v>1164.25</v>
      </c>
      <c r="DJ3" s="6">
        <f>DISTRIBUTIONS!DL11</f>
        <v>2397.6</v>
      </c>
      <c r="DK3" s="6">
        <f>DISTRIBUTIONS!DM11</f>
        <v>1456.11</v>
      </c>
      <c r="DL3" s="6">
        <f>DISTRIBUTIONS!DN11</f>
        <v>1512.3700000000001</v>
      </c>
      <c r="DM3" s="6">
        <f>DISTRIBUTIONS!DO11</f>
        <v>1544.27</v>
      </c>
      <c r="DN3" s="6">
        <f>DISTRIBUTIONS!DP11</f>
        <v>377</v>
      </c>
      <c r="DO3" s="6">
        <f>DISTRIBUTIONS!DQ11</f>
        <v>1902</v>
      </c>
      <c r="DP3" s="6">
        <f>DISTRIBUTIONS!DR11</f>
        <v>2063.46</v>
      </c>
      <c r="DQ3" s="6">
        <f>DISTRIBUTIONS!DS11</f>
        <v>4226.26</v>
      </c>
      <c r="DR3" s="6">
        <f>DISTRIBUTIONS!DT11</f>
        <v>1836.1999999999998</v>
      </c>
      <c r="DS3" s="6">
        <f>DISTRIBUTIONS!DU11</f>
        <v>1998.1000000000001</v>
      </c>
      <c r="DT3" s="6">
        <f>DISTRIBUTIONS!DV11</f>
        <v>807</v>
      </c>
      <c r="DU3" s="6">
        <f>DISTRIBUTIONS!DW11</f>
        <v>347</v>
      </c>
      <c r="DV3" s="6">
        <f>DISTRIBUTIONS!DX11</f>
        <v>1578.7999999999997</v>
      </c>
      <c r="DW3" s="6">
        <f>DISTRIBUTIONS!DY11</f>
        <v>2258.16</v>
      </c>
      <c r="DX3" s="6">
        <f>DISTRIBUTIONS!DZ11</f>
        <v>1949.6299999999999</v>
      </c>
      <c r="DY3" s="6">
        <f>DISTRIBUTIONS!EA11</f>
        <v>2770.12</v>
      </c>
      <c r="DZ3" s="6">
        <f>DISTRIBUTIONS!EB11</f>
        <v>0</v>
      </c>
      <c r="EA3" s="6">
        <f>DISTRIBUTIONS!EC11</f>
        <v>0</v>
      </c>
      <c r="EB3" s="6">
        <f>DISTRIBUTIONS!ED11</f>
        <v>375.35000000000008</v>
      </c>
      <c r="EC3" s="6">
        <f>DISTRIBUTIONS!EE11</f>
        <v>2012.22</v>
      </c>
      <c r="ED3" s="6">
        <f>DISTRIBUTIONS!EF11</f>
        <v>1527.8700000000001</v>
      </c>
      <c r="EE3" s="6">
        <f>DISTRIBUTIONS!EG11</f>
        <v>318.60000000000002</v>
      </c>
      <c r="EF3" s="6">
        <f>DISTRIBUTIONS!EH11</f>
        <v>811.5</v>
      </c>
      <c r="EG3" s="6">
        <f>DISTRIBUTIONS!EI11</f>
        <v>0</v>
      </c>
      <c r="EH3" s="6">
        <f>DISTRIBUTIONS!EJ11</f>
        <v>0</v>
      </c>
      <c r="EI3" s="6">
        <f>DISTRIBUTIONS!EK11</f>
        <v>0</v>
      </c>
      <c r="EJ3" s="6">
        <f>DISTRIBUTIONS!EL11</f>
        <v>0</v>
      </c>
      <c r="EK3" s="6">
        <f>DISTRIBUTIONS!EM11</f>
        <v>0</v>
      </c>
      <c r="EL3" s="6">
        <f>DISTRIBUTIONS!EN11</f>
        <v>0</v>
      </c>
      <c r="EM3" s="6">
        <f>DISTRIBUTIONS!EO11</f>
        <v>0</v>
      </c>
      <c r="EN3" s="6">
        <f>DISTRIBUTIONS!EP11</f>
        <v>0</v>
      </c>
      <c r="EO3" s="6">
        <f>DISTRIBUTIONS!EQ11</f>
        <v>0</v>
      </c>
      <c r="EP3" s="6">
        <f>DISTRIBUTIONS!ER11</f>
        <v>0</v>
      </c>
      <c r="EQ3" s="6">
        <f>DISTRIBUTIONS!ES11</f>
        <v>0</v>
      </c>
      <c r="ER3" s="6">
        <f>DISTRIBUTIONS!ET11</f>
        <v>0</v>
      </c>
      <c r="ES3" s="6">
        <f>DISTRIBUTIONS!EU11</f>
        <v>0</v>
      </c>
      <c r="ET3" s="6">
        <f>DISTRIBUTIONS!EV11</f>
        <v>0</v>
      </c>
      <c r="EU3" s="6">
        <f>DISTRIBUTIONS!EW11</f>
        <v>0</v>
      </c>
      <c r="EV3" s="6">
        <f>DISTRIBUTIONS!EX11</f>
        <v>95</v>
      </c>
      <c r="EW3" s="6">
        <f>DISTRIBUTIONS!EY11</f>
        <v>0</v>
      </c>
      <c r="EX3" s="6">
        <f>DISTRIBUTIONS!EZ11</f>
        <v>0</v>
      </c>
      <c r="EY3" s="6">
        <f>DISTRIBUTIONS!FA11</f>
        <v>2203.5800000000004</v>
      </c>
      <c r="EZ3" s="6">
        <f>DISTRIBUTIONS!FB11</f>
        <v>634.66999999999996</v>
      </c>
      <c r="FA3" s="6">
        <f>DISTRIBUTIONS!FC11</f>
        <v>0</v>
      </c>
      <c r="FB3" s="6">
        <f>DISTRIBUTIONS!FD11</f>
        <v>0</v>
      </c>
      <c r="FC3" s="6">
        <f>DISTRIBUTIONS!FE11</f>
        <v>0</v>
      </c>
      <c r="FD3" s="6">
        <f>DISTRIBUTIONS!FF11</f>
        <v>0</v>
      </c>
      <c r="FE3" s="6">
        <f>DISTRIBUTIONS!FG11</f>
        <v>0</v>
      </c>
      <c r="FF3" s="6">
        <f>DISTRIBUTIONS!FH11</f>
        <v>0</v>
      </c>
      <c r="FG3" s="6">
        <f>DISTRIBUTIONS!FI11</f>
        <v>0</v>
      </c>
      <c r="FH3" s="6">
        <f>DISTRIBUTIONS!FJ11</f>
        <v>0</v>
      </c>
      <c r="FI3" s="6">
        <f>DISTRIBUTIONS!FK11</f>
        <v>0</v>
      </c>
      <c r="FJ3" s="6">
        <f>DISTRIBUTIONS!FL11</f>
        <v>0</v>
      </c>
      <c r="FK3" s="6">
        <f>DISTRIBUTIONS!FM11</f>
        <v>0</v>
      </c>
      <c r="FL3" s="6">
        <f>DISTRIBUTIONS!FN11</f>
        <v>0</v>
      </c>
      <c r="FM3" s="6">
        <f>DISTRIBUTIONS!FO11</f>
        <v>2624</v>
      </c>
      <c r="FN3" s="6">
        <f>DISTRIBUTIONS!FP11</f>
        <v>1362</v>
      </c>
      <c r="FO3" s="6">
        <f>DISTRIBUTIONS!FQ11</f>
        <v>1066.46</v>
      </c>
      <c r="FP3" s="6">
        <f>DISTRIBUTIONS!FR11</f>
        <v>1169.6600000000001</v>
      </c>
      <c r="FQ3" s="6">
        <f>DISTRIBUTIONS!FS11</f>
        <v>1980.27</v>
      </c>
      <c r="FR3" s="6">
        <f>DISTRIBUTIONS!FT11</f>
        <v>2049.7999999999997</v>
      </c>
      <c r="FS3" s="6">
        <f>DISTRIBUTIONS!FU11</f>
        <v>3527.2999999999993</v>
      </c>
      <c r="FT3" s="6">
        <f>DISTRIBUTIONS!FV11</f>
        <v>4046.9199999999992</v>
      </c>
      <c r="FU3" s="6">
        <f>DISTRIBUTIONS!FW11</f>
        <v>3284.5899999999992</v>
      </c>
      <c r="FV3" s="6">
        <f>DISTRIBUTIONS!FX11</f>
        <v>3612.8899999999994</v>
      </c>
      <c r="FW3" s="6">
        <f>DISTRIBUTIONS!FY11</f>
        <v>1857.4699999999996</v>
      </c>
      <c r="FX3" s="6">
        <f>DISTRIBUTIONS!FZ11</f>
        <v>2661.05</v>
      </c>
      <c r="FY3" s="6">
        <f>DISTRIBUTIONS!GA11</f>
        <v>1326.9499999999998</v>
      </c>
      <c r="FZ3" s="6">
        <f>DISTRIBUTIONS!GB11</f>
        <v>2648.9700000000003</v>
      </c>
      <c r="GA3" s="6">
        <f>DISTRIBUTIONS!GC11</f>
        <v>4185.17</v>
      </c>
      <c r="GB3" s="6">
        <f>DISTRIBUTIONS!GD11</f>
        <v>3068.8200000000006</v>
      </c>
      <c r="GC3" s="6">
        <f>DISTRIBUTIONS!GE11</f>
        <v>2397.61</v>
      </c>
      <c r="GD3" s="6">
        <f>DISTRIBUTIONS!GF11</f>
        <v>3197.9199999999996</v>
      </c>
      <c r="GE3" s="6">
        <f>DISTRIBUTIONS!GG11</f>
        <v>2694.6400000000003</v>
      </c>
      <c r="GF3" s="6">
        <f>DISTRIBUTIONS!GH11</f>
        <v>2868.71</v>
      </c>
      <c r="GG3" s="6">
        <f>DISTRIBUTIONS!GI11</f>
        <v>2140.7629999999999</v>
      </c>
      <c r="GH3" s="6">
        <f>DISTRIBUTIONS!GJ11</f>
        <v>2288.0099999999998</v>
      </c>
      <c r="GI3" s="6">
        <f>DISTRIBUTIONS!GK11</f>
        <v>1169.79</v>
      </c>
      <c r="GJ3" s="6">
        <f>DISTRIBUTIONS!GL11</f>
        <v>583</v>
      </c>
      <c r="GK3" s="6">
        <f>DISTRIBUTIONS!GM11</f>
        <v>281</v>
      </c>
      <c r="GL3" s="6">
        <f>DISTRIBUTIONS!GN11</f>
        <v>144</v>
      </c>
      <c r="GM3" s="6">
        <f>DISTRIBUTIONS!GO11</f>
        <v>0</v>
      </c>
      <c r="GN3" s="6">
        <f>DISTRIBUTIONS!GP11</f>
        <v>506.464</v>
      </c>
      <c r="GO3" s="6">
        <f>DISTRIBUTIONS!GQ11</f>
        <v>130</v>
      </c>
      <c r="GP3" s="6">
        <f>DISTRIBUTIONS!GR11</f>
        <v>110.77</v>
      </c>
      <c r="GQ3" s="6">
        <f>DISTRIBUTIONS!GS11</f>
        <v>965</v>
      </c>
      <c r="GR3" s="6">
        <f>DISTRIBUTIONS!GT11</f>
        <v>0</v>
      </c>
      <c r="GS3" s="6">
        <f>DISTRIBUTIONS!GU11</f>
        <v>608</v>
      </c>
      <c r="GT3" s="6">
        <f>DISTRIBUTIONS!GV11</f>
        <v>901</v>
      </c>
      <c r="GU3" s="6">
        <f>DISTRIBUTIONS!GW11</f>
        <v>20</v>
      </c>
      <c r="GV3" s="6">
        <f>DISTRIBUTIONS!GX11</f>
        <v>418</v>
      </c>
      <c r="GW3" s="6">
        <f>DISTRIBUTIONS!GY11</f>
        <v>1535.4639999999999</v>
      </c>
      <c r="GX3" s="6">
        <f>DISTRIBUTIONS!GZ11</f>
        <v>216.6</v>
      </c>
      <c r="GY3" s="6">
        <f>DISTRIBUTIONS!HA11</f>
        <v>548</v>
      </c>
      <c r="GZ3" s="6">
        <f>DISTRIBUTIONS!HB11</f>
        <v>634.01799999999992</v>
      </c>
      <c r="HA3" s="6">
        <f>DISTRIBUTIONS!HC11</f>
        <v>442.36300000000006</v>
      </c>
      <c r="HB3" s="6">
        <f>DISTRIBUTIONS!HD11</f>
        <v>359.04849999999999</v>
      </c>
      <c r="HC3" s="6">
        <f>DISTRIBUTIONS!HE11</f>
        <v>1498.0330000000004</v>
      </c>
      <c r="HD3" s="6">
        <f>DISTRIBUTIONS!HF11</f>
        <v>1488.2708</v>
      </c>
      <c r="HE3" s="6">
        <f>DISTRIBUTIONS!HG11</f>
        <v>10</v>
      </c>
      <c r="HF3" s="6">
        <f>DISTRIBUTIONS!HH11</f>
        <v>1616.1380000000001</v>
      </c>
      <c r="HG3" s="6">
        <f>DISTRIBUTIONS!HI11</f>
        <v>2181.3669999999997</v>
      </c>
      <c r="HH3" s="6">
        <f>DISTRIBUTIONS!HJ11</f>
        <v>209.6</v>
      </c>
      <c r="HI3" s="6">
        <f>DISTRIBUTIONS!HK11</f>
        <v>0</v>
      </c>
      <c r="HJ3" s="6"/>
      <c r="HK3" s="6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x14ac:dyDescent="0.25">
      <c r="B4" s="11"/>
      <c r="C4" s="14"/>
      <c r="D4" s="15" t="s">
        <v>97</v>
      </c>
      <c r="E4" s="2">
        <f>DISTRIBUTIONS!G6</f>
        <v>9116.82</v>
      </c>
      <c r="F4" s="2">
        <f>DISTRIBUTIONS!H6</f>
        <v>9071.15</v>
      </c>
      <c r="G4" s="2">
        <f>DISTRIBUTIONS!I6</f>
        <v>8763.43</v>
      </c>
      <c r="H4" s="2">
        <f>DISTRIBUTIONS!J6</f>
        <v>8759</v>
      </c>
      <c r="I4" s="2">
        <f>DISTRIBUTIONS!K6</f>
        <v>8919.65</v>
      </c>
      <c r="J4" s="2">
        <f>DISTRIBUTIONS!L6</f>
        <v>8530.64</v>
      </c>
      <c r="K4" s="2">
        <f>DISTRIBUTIONS!M6</f>
        <v>8531.4699999999993</v>
      </c>
      <c r="L4" s="2">
        <f>DISTRIBUTIONS!N6</f>
        <v>8707.85</v>
      </c>
      <c r="M4" s="2">
        <f>DISTRIBUTIONS!O6</f>
        <v>8812.39</v>
      </c>
      <c r="N4" s="2">
        <f>DISTRIBUTIONS!P6</f>
        <v>8785.2999999999993</v>
      </c>
      <c r="O4" s="2">
        <f>DISTRIBUTIONS!Q6</f>
        <v>9307.11</v>
      </c>
      <c r="P4" s="2">
        <f>DISTRIBUTIONS!R6</f>
        <v>9666.11</v>
      </c>
      <c r="Q4" s="2">
        <f>DISTRIBUTIONS!S6</f>
        <v>9978.4500000000007</v>
      </c>
      <c r="R4" s="2">
        <f>DISTRIBUTIONS!T6</f>
        <v>9673.07</v>
      </c>
      <c r="S4" s="2">
        <f>DISTRIBUTIONS!U6</f>
        <v>9610.5</v>
      </c>
      <c r="T4" s="2">
        <f>DISTRIBUTIONS!V6</f>
        <v>9610.5</v>
      </c>
      <c r="U4" s="2">
        <f>DISTRIBUTIONS!W6</f>
        <v>9604.3799999999992</v>
      </c>
      <c r="V4" s="2">
        <f>DISTRIBUTIONS!X6</f>
        <v>10185.27</v>
      </c>
      <c r="W4" s="2">
        <f>DISTRIBUTIONS!Y6</f>
        <v>9704</v>
      </c>
      <c r="X4" s="2">
        <f>DISTRIBUTIONS!Z6</f>
        <v>9933.99</v>
      </c>
      <c r="Y4" s="2">
        <f>DISTRIBUTIONS!AA6</f>
        <v>9909.16</v>
      </c>
      <c r="Z4" s="2">
        <f>DISTRIBUTIONS!AB6</f>
        <v>10370.48</v>
      </c>
      <c r="AA4" s="2">
        <f>DISTRIBUTIONS!AC6</f>
        <v>10241.94</v>
      </c>
      <c r="AB4" s="2">
        <f>DISTRIBUTIONS!AD6</f>
        <v>10354.35</v>
      </c>
      <c r="AC4" s="2">
        <f>DISTRIBUTIONS!AE6</f>
        <v>10271.129999999999</v>
      </c>
      <c r="AD4" s="2">
        <f>DISTRIBUTIONS!AF6</f>
        <v>9852.9599999999991</v>
      </c>
      <c r="AE4" s="2">
        <f>DISTRIBUTIONS!AG6</f>
        <v>10167.879999999999</v>
      </c>
      <c r="AF4" s="2">
        <f>DISTRIBUTIONS!AH6</f>
        <v>9907.49</v>
      </c>
      <c r="AG4" s="2">
        <f>DISTRIBUTIONS!AI6</f>
        <v>9810.73</v>
      </c>
      <c r="AH4" s="2">
        <f>DISTRIBUTIONS!AJ6</f>
        <v>9757.52</v>
      </c>
      <c r="AI4" s="2">
        <f>DISTRIBUTIONS!AK6</f>
        <v>9611.92</v>
      </c>
      <c r="AJ4" s="2">
        <f>DISTRIBUTIONS!AL6</f>
        <v>9165.5</v>
      </c>
      <c r="AK4" s="2">
        <f>DISTRIBUTIONS!AM6</f>
        <v>9286.2900000000009</v>
      </c>
      <c r="AL4" s="2">
        <f>DISTRIBUTIONS!AN6</f>
        <v>9325.99</v>
      </c>
      <c r="AM4" s="2">
        <f>DISTRIBUTIONS!AO6</f>
        <v>9379.93</v>
      </c>
      <c r="AN4" s="2">
        <f>DISTRIBUTIONS!AP6</f>
        <v>9333.5400000000009</v>
      </c>
      <c r="AO4" s="2">
        <f>DISTRIBUTIONS!AQ6</f>
        <v>9503.2999999999993</v>
      </c>
      <c r="AP4" s="2">
        <f>DISTRIBUTIONS!AR6</f>
        <v>9283.6200000000008</v>
      </c>
      <c r="AQ4" s="2">
        <f>DISTRIBUTIONS!AS6</f>
        <v>9389.2999999999993</v>
      </c>
      <c r="AR4" s="2">
        <f>DISTRIBUTIONS!AT6</f>
        <v>8893.7800000000007</v>
      </c>
      <c r="AS4" s="2">
        <f>DISTRIBUTIONS!AU6</f>
        <v>8954.5499999999993</v>
      </c>
      <c r="AT4" s="2">
        <f>DISTRIBUTIONS!AV6</f>
        <v>8329.52</v>
      </c>
      <c r="AU4" s="2">
        <f>DISTRIBUTIONS!AW6</f>
        <v>8426.6200000000008</v>
      </c>
      <c r="AV4" s="2">
        <f>DISTRIBUTIONS!AX6</f>
        <v>8389.27</v>
      </c>
      <c r="AW4" s="2">
        <f>DISTRIBUTIONS!AY6</f>
        <v>8660.9500000000007</v>
      </c>
      <c r="AX4" s="2">
        <f>DISTRIBUTIONS!AZ6</f>
        <v>8723.7099999999991</v>
      </c>
      <c r="AY4" s="2">
        <f>DISTRIBUTIONS!BA6</f>
        <v>8631.6299999999992</v>
      </c>
      <c r="AZ4" s="2">
        <f>DISTRIBUTIONS!BB6</f>
        <v>8702.65</v>
      </c>
      <c r="BA4" s="2">
        <f>DISTRIBUTIONS!BC6</f>
        <v>8908.93</v>
      </c>
      <c r="BB4" s="2">
        <f>DISTRIBUTIONS!BD6</f>
        <v>8898.19</v>
      </c>
      <c r="BC4" s="2">
        <f>DISTRIBUTIONS!BE6</f>
        <v>8719.51</v>
      </c>
      <c r="BD4" s="2">
        <f>DISTRIBUTIONS!BF6</f>
        <v>8815.06</v>
      </c>
      <c r="BE4" s="2">
        <f>DISTRIBUTIONS!BG6</f>
        <v>8829.11</v>
      </c>
      <c r="BF4" s="2">
        <f>DISTRIBUTIONS!BH6</f>
        <v>8107.89</v>
      </c>
      <c r="BG4" s="2">
        <f>DISTRIBUTIONS!BI6</f>
        <v>8175.9</v>
      </c>
      <c r="BH4" s="2">
        <f>DISTRIBUTIONS!BJ6</f>
        <v>8022.1</v>
      </c>
      <c r="BI4" s="2">
        <f>DISTRIBUTIONS!BK6</f>
        <v>8192.25</v>
      </c>
      <c r="BJ4" s="2">
        <f>DISTRIBUTIONS!BL6</f>
        <v>7816.44</v>
      </c>
      <c r="BK4" s="2">
        <f>DISTRIBUTIONS!BM6</f>
        <v>8045.25</v>
      </c>
      <c r="BL4" s="2">
        <f>DISTRIBUTIONS!BN6</f>
        <v>8162.71</v>
      </c>
      <c r="BM4" s="2">
        <f>DISTRIBUTIONS!BO6</f>
        <v>7763.22</v>
      </c>
      <c r="BN4" s="2">
        <f>DISTRIBUTIONS!BP6</f>
        <v>7353.24</v>
      </c>
      <c r="BO4" s="2">
        <f>DISTRIBUTIONS!BQ6</f>
        <v>7349.68</v>
      </c>
      <c r="BP4" s="2">
        <f>DISTRIBUTIONS!BR6</f>
        <v>7330.79</v>
      </c>
      <c r="BQ4" s="2">
        <f>DISTRIBUTIONS!BS6</f>
        <v>6945.79</v>
      </c>
      <c r="BR4" s="2">
        <f>DISTRIBUTIONS!BT6</f>
        <v>7176.37</v>
      </c>
      <c r="BS4" s="2">
        <f>DISTRIBUTIONS!BU6</f>
        <v>7171.07</v>
      </c>
      <c r="BT4" s="2">
        <f>DISTRIBUTIONS!BV6</f>
        <v>7218.72</v>
      </c>
      <c r="BU4" s="2">
        <f>DISTRIBUTIONS!BW6</f>
        <v>7387.36</v>
      </c>
      <c r="BV4" s="2">
        <f>DISTRIBUTIONS!BX6</f>
        <v>7302.03</v>
      </c>
      <c r="BW4" s="2">
        <f>DISTRIBUTIONS!BY6</f>
        <v>7245.33</v>
      </c>
      <c r="BX4" s="2">
        <f>DISTRIBUTIONS!BZ6</f>
        <v>7195.41</v>
      </c>
      <c r="BY4" s="2">
        <f>DISTRIBUTIONS!CA6</f>
        <v>7191.94</v>
      </c>
      <c r="BZ4" s="2">
        <f>DISTRIBUTIONS!CB6</f>
        <v>7256.66</v>
      </c>
      <c r="CA4" s="2">
        <f>DISTRIBUTIONS!CC6</f>
        <v>7318.71</v>
      </c>
      <c r="CB4" s="2">
        <f>DISTRIBUTIONS!CD6</f>
        <v>7513.96</v>
      </c>
      <c r="CC4" s="2">
        <f>DISTRIBUTIONS!CE6</f>
        <v>7144.47</v>
      </c>
      <c r="CD4" s="2">
        <f>DISTRIBUTIONS!CF6</f>
        <v>7192.96</v>
      </c>
      <c r="CE4" s="2">
        <f>DISTRIBUTIONS!CG6</f>
        <v>7150.63</v>
      </c>
      <c r="CF4" s="2">
        <f>DISTRIBUTIONS!CH6</f>
        <v>7286.79</v>
      </c>
      <c r="CG4" s="2">
        <f>DISTRIBUTIONS!CI6</f>
        <v>6613.91</v>
      </c>
      <c r="CH4" s="2">
        <f>DISTRIBUTIONS!CJ6</f>
        <v>6879.44</v>
      </c>
      <c r="CI4" s="2">
        <f>DISTRIBUTIONS!CK6</f>
        <v>7112.19</v>
      </c>
      <c r="CJ4" s="2">
        <f>DISTRIBUTIONS!CL6</f>
        <v>7065.92</v>
      </c>
      <c r="CK4" s="2">
        <f>DISTRIBUTIONS!CM6</f>
        <v>7253.09</v>
      </c>
      <c r="CL4" s="2">
        <f>DISTRIBUTIONS!CN6</f>
        <v>7189.39</v>
      </c>
      <c r="CM4" s="2">
        <f>DISTRIBUTIONS!CO6</f>
        <v>7204.08</v>
      </c>
      <c r="CN4" s="2">
        <f>DISTRIBUTIONS!CP6</f>
        <v>7222.02</v>
      </c>
      <c r="CO4" s="2">
        <f>DISTRIBUTIONS!CQ6</f>
        <v>7338.88</v>
      </c>
      <c r="CP4" s="2">
        <f>DISTRIBUTIONS!CR6</f>
        <v>7522.76</v>
      </c>
      <c r="CQ4" s="2">
        <f>DISTRIBUTIONS!CS6</f>
        <v>7503.3</v>
      </c>
      <c r="CR4" s="2">
        <f>DISTRIBUTIONS!CT6</f>
        <v>7547.74</v>
      </c>
      <c r="CS4" s="2">
        <f>DISTRIBUTIONS!CU6</f>
        <v>7394.53</v>
      </c>
      <c r="CT4" s="2">
        <f>DISTRIBUTIONS!CV6</f>
        <v>7195.29</v>
      </c>
      <c r="CU4" s="2">
        <f>DISTRIBUTIONS!CW6</f>
        <v>7300.18</v>
      </c>
      <c r="CV4" s="2">
        <f>DISTRIBUTIONS!CX6</f>
        <v>7308.44</v>
      </c>
      <c r="CW4" s="2">
        <f>DISTRIBUTIONS!CY6</f>
        <v>7407.56</v>
      </c>
      <c r="CX4" s="2">
        <f>DISTRIBUTIONS!CZ6</f>
        <v>7557.86</v>
      </c>
      <c r="CY4" s="2">
        <f>DISTRIBUTIONS!DA6</f>
        <v>7759.12</v>
      </c>
      <c r="CZ4" s="2">
        <f>DISTRIBUTIONS!DB6</f>
        <v>7434.14</v>
      </c>
      <c r="DA4" s="2">
        <f>DISTRIBUTIONS!DC6</f>
        <v>7257.78</v>
      </c>
      <c r="DB4" s="2">
        <f>DISTRIBUTIONS!DD6</f>
        <v>7164.98</v>
      </c>
      <c r="DC4" s="2">
        <f>DISTRIBUTIONS!DE6</f>
        <v>7127.85</v>
      </c>
      <c r="DD4" s="2">
        <f>DISTRIBUTIONS!DF6</f>
        <v>6914.95</v>
      </c>
      <c r="DE4" s="2">
        <f>DISTRIBUTIONS!DG6</f>
        <v>7326.86</v>
      </c>
      <c r="DF4" s="2">
        <f>DISTRIBUTIONS!DH6</f>
        <v>7287.5</v>
      </c>
      <c r="DG4" s="2">
        <f>DISTRIBUTIONS!DI6</f>
        <v>7618.6</v>
      </c>
      <c r="DH4" s="2">
        <f>DISTRIBUTIONS!DJ6</f>
        <v>8083.95</v>
      </c>
      <c r="DI4" s="2">
        <f>DISTRIBUTIONS!DK6</f>
        <v>8123.54</v>
      </c>
      <c r="DJ4" s="2">
        <f>DISTRIBUTIONS!DL6</f>
        <v>8175.59</v>
      </c>
      <c r="DK4" s="2">
        <f>DISTRIBUTIONS!DM6</f>
        <v>8503.31</v>
      </c>
      <c r="DL4" s="2">
        <f>DISTRIBUTIONS!DN6</f>
        <v>8484.65</v>
      </c>
      <c r="DM4" s="2">
        <f>DISTRIBUTIONS!DO6</f>
        <v>8461.7800000000007</v>
      </c>
      <c r="DN4" s="2">
        <f>DISTRIBUTIONS!DP6</f>
        <v>8632.32</v>
      </c>
      <c r="DO4" s="2">
        <f>DISTRIBUTIONS!DQ6</f>
        <v>8762.7199999999993</v>
      </c>
      <c r="DP4" s="2">
        <f>DISTRIBUTIONS!DR6</f>
        <v>8807.33</v>
      </c>
      <c r="DQ4" s="2">
        <f>DISTRIBUTIONS!DS6</f>
        <v>8720.2099999999991</v>
      </c>
      <c r="DR4" s="2">
        <f>DISTRIBUTIONS!DT6</f>
        <v>9035.84</v>
      </c>
      <c r="DS4" s="2">
        <f>DISTRIBUTIONS!DU6</f>
        <v>8809.65</v>
      </c>
      <c r="DT4" s="2">
        <f>DISTRIBUTIONS!DV6</f>
        <v>8766.5400000000009</v>
      </c>
      <c r="DU4" s="2">
        <f>DISTRIBUTIONS!DW6</f>
        <v>9202.02</v>
      </c>
      <c r="DV4" s="2">
        <f>DISTRIBUTIONS!DX6</f>
        <v>9343.2099999999991</v>
      </c>
      <c r="DW4" s="2">
        <f>DISTRIBUTIONS!DY6</f>
        <v>9316.2999999999993</v>
      </c>
      <c r="DX4" s="2">
        <f>DISTRIBUTIONS!DZ6</f>
        <v>9415.33</v>
      </c>
      <c r="DY4" s="2">
        <f>DISTRIBUTIONS!EA6</f>
        <v>9207.4</v>
      </c>
      <c r="DZ4" s="2">
        <f>DISTRIBUTIONS!EB6</f>
        <v>9306.17</v>
      </c>
      <c r="EA4" s="2">
        <f>DISTRIBUTIONS!EC6</f>
        <v>9255.15</v>
      </c>
      <c r="EB4" s="2">
        <f>DISTRIBUTIONS!ED6</f>
        <v>9153.4500000000007</v>
      </c>
      <c r="EC4" s="2">
        <f>DISTRIBUTIONS!EE6</f>
        <v>9166.64</v>
      </c>
      <c r="ED4" s="2">
        <f>DISTRIBUTIONS!EF6</f>
        <v>9432.4</v>
      </c>
      <c r="EE4" s="2">
        <f>DISTRIBUTIONS!EG6</f>
        <v>9215.6</v>
      </c>
      <c r="EF4" s="2">
        <f>DISTRIBUTIONS!EH6</f>
        <v>9548.41</v>
      </c>
      <c r="EG4" s="2">
        <f>DISTRIBUTIONS!EI6</f>
        <v>9255.33</v>
      </c>
      <c r="EH4" s="2">
        <f>DISTRIBUTIONS!EJ6</f>
        <v>8666.32</v>
      </c>
      <c r="EI4" s="2">
        <f>DISTRIBUTIONS!EK6</f>
        <v>7432.1</v>
      </c>
      <c r="EJ4" s="2">
        <f>DISTRIBUTIONS!EL6</f>
        <v>7475</v>
      </c>
      <c r="EK4" s="2">
        <f>DISTRIBUTIONS!EM6</f>
        <v>8026.46</v>
      </c>
      <c r="EL4" s="2">
        <f>DISTRIBUTIONS!EN6</f>
        <v>8219.5499999999993</v>
      </c>
      <c r="EM4" s="2">
        <f>DISTRIBUTIONS!EO6</f>
        <v>8234.2900000000009</v>
      </c>
      <c r="EN4" s="2">
        <f>DISTRIBUTIONS!EP6</f>
        <v>7961.79</v>
      </c>
      <c r="EO4" s="2">
        <f>DISTRIBUTIONS!EQ6</f>
        <v>7956.83</v>
      </c>
      <c r="EP4" s="2">
        <f>DISTRIBUTIONS!ER6</f>
        <v>8076.61</v>
      </c>
      <c r="EQ4" s="2">
        <f>DISTRIBUTIONS!ES6</f>
        <v>7999</v>
      </c>
      <c r="ER4" s="2">
        <f>DISTRIBUTIONS!ET6</f>
        <v>8162.15</v>
      </c>
      <c r="ES4" s="2">
        <f>DISTRIBUTIONS!EU6</f>
        <v>8355.19</v>
      </c>
      <c r="ET4" s="2">
        <f>DISTRIBUTIONS!EV6</f>
        <v>8284.5400000000009</v>
      </c>
      <c r="EU4" s="2">
        <f>DISTRIBUTIONS!EW6</f>
        <v>8309.4</v>
      </c>
      <c r="EV4" s="2">
        <f>DISTRIBUTIONS!EX6</f>
        <v>8269.85</v>
      </c>
      <c r="EW4" s="2">
        <f>DISTRIBUTIONS!EY6</f>
        <v>8588.5400000000009</v>
      </c>
      <c r="EX4" s="2">
        <f>DISTRIBUTIONS!EZ6</f>
        <v>8590.2900000000009</v>
      </c>
      <c r="EY4" s="2">
        <f>DISTRIBUTIONS!FA6</f>
        <v>8187.61</v>
      </c>
      <c r="EZ4" s="2">
        <f>DISTRIBUTIONS!FB6</f>
        <v>8209.4699999999993</v>
      </c>
      <c r="FA4" s="2">
        <f>DISTRIBUTIONS!FC6</f>
        <v>7863.73</v>
      </c>
      <c r="FB4" s="2">
        <f>DISTRIBUTIONS!FD6</f>
        <v>8148.55</v>
      </c>
      <c r="FC4" s="2">
        <f>DISTRIBUTIONS!FE6</f>
        <v>8158.37</v>
      </c>
      <c r="FD4" s="2">
        <f>DISTRIBUTIONS!FF6</f>
        <v>8241.39</v>
      </c>
      <c r="FE4" s="2">
        <f>DISTRIBUTIONS!FG6</f>
        <v>8383.8700000000008</v>
      </c>
      <c r="FF4" s="2">
        <f>DISTRIBUTIONS!FH6</f>
        <v>8323.57</v>
      </c>
      <c r="FG4" s="2">
        <f>DISTRIBUTIONS!FI6</f>
        <v>8306.36</v>
      </c>
      <c r="FH4" s="2">
        <f>DISTRIBUTIONS!FJ6</f>
        <v>8055.05</v>
      </c>
      <c r="FI4" s="2">
        <f>DISTRIBUTIONS!FK6</f>
        <v>8221.75</v>
      </c>
      <c r="FJ4" s="2">
        <f>DISTRIBUTIONS!FL6</f>
        <v>8196.6200000000008</v>
      </c>
      <c r="FK4" s="2">
        <f>DISTRIBUTIONS!FM6</f>
        <v>8061.03</v>
      </c>
      <c r="FL4" s="2">
        <f>DISTRIBUTIONS!FN6</f>
        <v>8437.0300000000007</v>
      </c>
      <c r="FM4" s="2">
        <f>DISTRIBUTIONS!FO6</f>
        <v>8532.2900000000009</v>
      </c>
      <c r="FN4" s="2">
        <f>DISTRIBUTIONS!FP6</f>
        <v>9691.6299999999992</v>
      </c>
      <c r="FO4" s="2">
        <f>DISTRIBUTIONS!FQ6</f>
        <v>10030.61</v>
      </c>
      <c r="FP4" s="2">
        <f>DISTRIBUTIONS!FR6</f>
        <v>9980.44</v>
      </c>
      <c r="FQ4" s="2">
        <f>DISTRIBUTIONS!FS6</f>
        <v>10170.33</v>
      </c>
      <c r="FR4" s="2">
        <f>DISTRIBUTIONS!FT6</f>
        <v>10276.879999999999</v>
      </c>
      <c r="FS4" s="2">
        <f>DISTRIBUTIONS!FU6</f>
        <v>10159.200000000001</v>
      </c>
      <c r="FT4" s="2">
        <f>DISTRIBUTIONS!FV6</f>
        <v>10192.280000000001</v>
      </c>
      <c r="FU4" s="2">
        <f>DISTRIBUTIONS!FW6</f>
        <v>10265.290000000001</v>
      </c>
      <c r="FV4" s="2">
        <f>DISTRIBUTIONS!FX6</f>
        <v>10311.61</v>
      </c>
      <c r="FW4" s="2">
        <f>DISTRIBUTIONS!FY6</f>
        <v>10370.58</v>
      </c>
      <c r="FX4" s="2">
        <f>DISTRIBUTIONS!FZ6</f>
        <v>10371.4</v>
      </c>
      <c r="FY4" s="2">
        <f>DISTRIBUTIONS!GA6</f>
        <v>10424.68</v>
      </c>
      <c r="FZ4" s="2">
        <f>DISTRIBUTIONS!GB6</f>
        <v>10162.27</v>
      </c>
      <c r="GA4" s="2">
        <f>DISTRIBUTIONS!GC6</f>
        <v>10100.6</v>
      </c>
      <c r="GB4" s="2">
        <f>DISTRIBUTIONS!GD6</f>
        <v>10317.42</v>
      </c>
      <c r="GC4" s="2">
        <f>DISTRIBUTIONS!GE6</f>
        <v>10408.5</v>
      </c>
      <c r="GD4" s="2">
        <f>DISTRIBUTIONS!GF6</f>
        <v>10499.96</v>
      </c>
      <c r="GE4" s="2">
        <f>DISTRIBUTIONS!GG6</f>
        <v>10331.280000000001</v>
      </c>
      <c r="GF4" s="2">
        <f>DISTRIBUTIONS!GH6</f>
        <v>10578.71</v>
      </c>
      <c r="GG4" s="2">
        <f>DISTRIBUTIONS!GI6</f>
        <v>10583.9</v>
      </c>
      <c r="GH4" s="2">
        <f>DISTRIBUTIONS!GJ6</f>
        <v>10627.31</v>
      </c>
      <c r="GI4" s="2">
        <f>DISTRIBUTIONS!GK6</f>
        <v>10388.4</v>
      </c>
      <c r="GJ4" s="2">
        <f>DISTRIBUTIONS!GL6</f>
        <v>9768.58</v>
      </c>
      <c r="GK4" s="2">
        <f>DISTRIBUTIONS!GM6</f>
        <v>9608.43</v>
      </c>
      <c r="GL4" s="2">
        <f>DISTRIBUTIONS!GN6</f>
        <v>9584.3700000000008</v>
      </c>
      <c r="GM4" s="2">
        <f>DISTRIBUTIONS!GO6</f>
        <v>9487.34</v>
      </c>
      <c r="GN4" s="2">
        <f>DISTRIBUTIONS!GP6</f>
        <v>9723.44</v>
      </c>
      <c r="GO4" s="2">
        <f>DISTRIBUTIONS!GQ6</f>
        <v>10173.17</v>
      </c>
      <c r="GP4" s="2">
        <f>DISTRIBUTIONS!GR6</f>
        <v>10362.48</v>
      </c>
      <c r="GQ4" s="2">
        <f>DISTRIBUTIONS!GS6</f>
        <v>10142.81</v>
      </c>
      <c r="GR4" s="2">
        <f>DISTRIBUTIONS!GT6</f>
        <v>10156.82</v>
      </c>
      <c r="GS4" s="2">
        <f>DISTRIBUTIONS!GU6</f>
        <v>10419.92</v>
      </c>
      <c r="GT4" s="2">
        <f>DISTRIBUTIONS!GV6</f>
        <v>10109.67</v>
      </c>
      <c r="GU4" s="2">
        <f>DISTRIBUTIONS!GW6</f>
        <v>10129.57</v>
      </c>
      <c r="GV4" s="2">
        <f>DISTRIBUTIONS!GX6</f>
        <v>10756.96</v>
      </c>
      <c r="GW4" s="2">
        <f>DISTRIBUTIONS!GY6</f>
        <v>10918.79</v>
      </c>
      <c r="GX4" s="2">
        <f>DISTRIBUTIONS!GZ6</f>
        <v>10321.530000000001</v>
      </c>
      <c r="GY4" s="2">
        <f>DISTRIBUTIONS!HA6</f>
        <v>10213.379999999999</v>
      </c>
      <c r="GZ4" s="2">
        <f>DISTRIBUTIONS!HB6</f>
        <v>10358.69</v>
      </c>
      <c r="HA4" s="2">
        <f>DISTRIBUTIONS!HC6</f>
        <v>10301.61</v>
      </c>
      <c r="HB4" s="2">
        <f>DISTRIBUTIONS!HD6</f>
        <v>10019.64</v>
      </c>
      <c r="HC4" s="2">
        <f>DISTRIBUTIONS!HE6</f>
        <v>10858.36</v>
      </c>
      <c r="HD4" s="2">
        <f>DISTRIBUTIONS!HF6</f>
        <v>11384.48</v>
      </c>
      <c r="HE4" s="2">
        <f>DISTRIBUTIONS!HG6</f>
        <v>11568.85</v>
      </c>
      <c r="HF4" s="2">
        <f>DISTRIBUTIONS!HH6</f>
        <v>11298.45</v>
      </c>
      <c r="HG4" s="2">
        <f>DISTRIBUTIONS!HI6</f>
        <v>11870.5</v>
      </c>
      <c r="HH4" s="2">
        <f>DISTRIBUTIONS!HJ6</f>
        <v>11993.75</v>
      </c>
      <c r="HI4" s="2">
        <f>DISTRIBUTIONS!HK6</f>
        <v>11966.98</v>
      </c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ht="30" x14ac:dyDescent="0.25">
      <c r="A5" s="1" t="s">
        <v>103</v>
      </c>
      <c r="B5" s="11">
        <f>SUM(E5:HK5)*1000000</f>
        <v>1341464635.4487247</v>
      </c>
      <c r="C5" s="12"/>
      <c r="D5" s="13" t="s">
        <v>936</v>
      </c>
      <c r="E5" s="16">
        <f t="shared" ref="E5:G5" si="0">E3*E4/1000000</f>
        <v>4.3760735999999998</v>
      </c>
      <c r="F5" s="16">
        <f t="shared" si="0"/>
        <v>4.5718595999999998</v>
      </c>
      <c r="G5" s="16">
        <f t="shared" si="0"/>
        <v>0</v>
      </c>
      <c r="H5" s="16">
        <f t="shared" ref="H5" si="1">H3*H4/1000000</f>
        <v>1.515307</v>
      </c>
      <c r="I5" s="16">
        <f t="shared" ref="I5" si="2">I3*I4/1000000</f>
        <v>5.4142275499999997</v>
      </c>
      <c r="J5" s="16">
        <f t="shared" ref="J5" si="3">J3*J4/1000000</f>
        <v>0</v>
      </c>
      <c r="K5" s="16">
        <f t="shared" ref="K5:R5" si="4">K3*K4/1000000</f>
        <v>3.2372662915000001</v>
      </c>
      <c r="L5" s="16">
        <f t="shared" si="4"/>
        <v>3.4378591800000002</v>
      </c>
      <c r="M5" s="16">
        <f t="shared" si="4"/>
        <v>5.5435220533999985</v>
      </c>
      <c r="N5" s="16">
        <f t="shared" si="4"/>
        <v>1.3529362</v>
      </c>
      <c r="O5" s="16">
        <f t="shared" si="4"/>
        <v>3.1644174000000005</v>
      </c>
      <c r="P5" s="16">
        <f t="shared" si="4"/>
        <v>11.551001450000001</v>
      </c>
      <c r="Q5" s="16">
        <f t="shared" si="4"/>
        <v>10.467394050000001</v>
      </c>
      <c r="R5" s="16">
        <f t="shared" si="4"/>
        <v>0</v>
      </c>
      <c r="S5" s="16">
        <f>S3*S4/1000000</f>
        <v>0</v>
      </c>
      <c r="T5" s="16">
        <f t="shared" ref="T5:CE5" si="5">T3*T4/1000000</f>
        <v>0</v>
      </c>
      <c r="U5" s="16">
        <f t="shared" si="5"/>
        <v>0</v>
      </c>
      <c r="V5" s="16">
        <f t="shared" si="5"/>
        <v>0</v>
      </c>
      <c r="W5" s="16">
        <f t="shared" si="5"/>
        <v>0</v>
      </c>
      <c r="X5" s="16">
        <f t="shared" si="5"/>
        <v>1.4900985</v>
      </c>
      <c r="Y5" s="16">
        <f t="shared" si="5"/>
        <v>3.2799319599999999</v>
      </c>
      <c r="Z5" s="16">
        <f t="shared" si="5"/>
        <v>3.7748547199999996</v>
      </c>
      <c r="AA5" s="16">
        <f t="shared" si="5"/>
        <v>3.0787271640000005</v>
      </c>
      <c r="AB5" s="16">
        <f t="shared" si="5"/>
        <v>4.8458357999999997</v>
      </c>
      <c r="AC5" s="16">
        <f t="shared" si="5"/>
        <v>7.3644002099999994</v>
      </c>
      <c r="AD5" s="16">
        <f t="shared" si="5"/>
        <v>7.4586907199999999</v>
      </c>
      <c r="AE5" s="16">
        <f t="shared" si="5"/>
        <v>15.882228559999998</v>
      </c>
      <c r="AF5" s="16">
        <f t="shared" si="5"/>
        <v>4.3493881100000005</v>
      </c>
      <c r="AG5" s="16">
        <f t="shared" si="5"/>
        <v>9.77148708</v>
      </c>
      <c r="AH5" s="16">
        <f t="shared" si="5"/>
        <v>10.59666672</v>
      </c>
      <c r="AI5" s="16">
        <f t="shared" si="5"/>
        <v>5.98822616</v>
      </c>
      <c r="AJ5" s="16">
        <f t="shared" si="5"/>
        <v>2.2272164999999999</v>
      </c>
      <c r="AK5" s="16">
        <f t="shared" si="5"/>
        <v>0</v>
      </c>
      <c r="AL5" s="16">
        <f t="shared" si="5"/>
        <v>0</v>
      </c>
      <c r="AM5" s="16">
        <f t="shared" si="5"/>
        <v>0</v>
      </c>
      <c r="AN5" s="16">
        <f t="shared" si="5"/>
        <v>0</v>
      </c>
      <c r="AO5" s="16">
        <f t="shared" si="5"/>
        <v>0</v>
      </c>
      <c r="AP5" s="16">
        <f t="shared" si="5"/>
        <v>0</v>
      </c>
      <c r="AQ5" s="16">
        <f t="shared" si="5"/>
        <v>0</v>
      </c>
      <c r="AR5" s="16">
        <f t="shared" si="5"/>
        <v>0</v>
      </c>
      <c r="AS5" s="16">
        <f t="shared" si="5"/>
        <v>0</v>
      </c>
      <c r="AT5" s="16">
        <f t="shared" si="5"/>
        <v>0</v>
      </c>
      <c r="AU5" s="16">
        <f t="shared" si="5"/>
        <v>0</v>
      </c>
      <c r="AV5" s="16">
        <f t="shared" si="5"/>
        <v>0</v>
      </c>
      <c r="AW5" s="16">
        <f t="shared" si="5"/>
        <v>0</v>
      </c>
      <c r="AX5" s="16">
        <f t="shared" si="5"/>
        <v>0</v>
      </c>
      <c r="AY5" s="16">
        <f t="shared" si="5"/>
        <v>0</v>
      </c>
      <c r="AZ5" s="16">
        <f t="shared" si="5"/>
        <v>1.7492326499999999</v>
      </c>
      <c r="BA5" s="16">
        <f t="shared" si="5"/>
        <v>0</v>
      </c>
      <c r="BB5" s="16">
        <f t="shared" si="5"/>
        <v>7.2253302800000005</v>
      </c>
      <c r="BC5" s="16">
        <f t="shared" si="5"/>
        <v>4.2725599000000001</v>
      </c>
      <c r="BD5" s="16">
        <f t="shared" si="5"/>
        <v>6.3821034399999998</v>
      </c>
      <c r="BE5" s="16">
        <f t="shared" si="5"/>
        <v>1.6951891200000002</v>
      </c>
      <c r="BF5" s="16">
        <f t="shared" si="5"/>
        <v>4.8809497799999999</v>
      </c>
      <c r="BG5" s="16">
        <f t="shared" si="5"/>
        <v>9.7497607500000001</v>
      </c>
      <c r="BH5" s="16">
        <f t="shared" si="5"/>
        <v>3.4334588000000004</v>
      </c>
      <c r="BI5" s="16">
        <f t="shared" si="5"/>
        <v>1.048608</v>
      </c>
      <c r="BJ5" s="16">
        <f t="shared" si="5"/>
        <v>2.8920827999999998</v>
      </c>
      <c r="BK5" s="16">
        <f t="shared" si="5"/>
        <v>1.6858016849999997</v>
      </c>
      <c r="BL5" s="16">
        <f t="shared" si="5"/>
        <v>0.16325420000000002</v>
      </c>
      <c r="BM5" s="16">
        <f t="shared" si="5"/>
        <v>2.8335753000000001</v>
      </c>
      <c r="BN5" s="16">
        <f t="shared" si="5"/>
        <v>2.6324599200000001</v>
      </c>
      <c r="BO5" s="16">
        <f t="shared" si="5"/>
        <v>0</v>
      </c>
      <c r="BP5" s="16">
        <f t="shared" si="5"/>
        <v>1.9279977699999999</v>
      </c>
      <c r="BQ5" s="16">
        <f t="shared" si="5"/>
        <v>1.56974854</v>
      </c>
      <c r="BR5" s="16">
        <f t="shared" si="5"/>
        <v>4.8871079699999997</v>
      </c>
      <c r="BS5" s="16">
        <f t="shared" si="5"/>
        <v>0</v>
      </c>
      <c r="BT5" s="16">
        <f t="shared" si="5"/>
        <v>0</v>
      </c>
      <c r="BU5" s="16">
        <f t="shared" si="5"/>
        <v>0</v>
      </c>
      <c r="BV5" s="16">
        <f t="shared" si="5"/>
        <v>0.62797457999999995</v>
      </c>
      <c r="BW5" s="16">
        <f t="shared" si="5"/>
        <v>2.05042839</v>
      </c>
      <c r="BX5" s="16">
        <f t="shared" si="5"/>
        <v>1.5326223300000001</v>
      </c>
      <c r="BY5" s="16">
        <f t="shared" si="5"/>
        <v>2.89115988</v>
      </c>
      <c r="BZ5" s="16">
        <f t="shared" si="5"/>
        <v>2.8518673799999998</v>
      </c>
      <c r="CA5" s="16">
        <f t="shared" si="5"/>
        <v>0</v>
      </c>
      <c r="CB5" s="16">
        <f t="shared" si="5"/>
        <v>0</v>
      </c>
      <c r="CC5" s="16">
        <f t="shared" si="5"/>
        <v>0</v>
      </c>
      <c r="CD5" s="16">
        <f t="shared" si="5"/>
        <v>0</v>
      </c>
      <c r="CE5" s="16">
        <f t="shared" si="5"/>
        <v>0</v>
      </c>
      <c r="CF5" s="16">
        <f t="shared" ref="CF5:EQ5" si="6">CF3*CF4/1000000</f>
        <v>0</v>
      </c>
      <c r="CG5" s="16">
        <f t="shared" si="6"/>
        <v>0</v>
      </c>
      <c r="CH5" s="16">
        <f t="shared" si="6"/>
        <v>0.43340471999999997</v>
      </c>
      <c r="CI5" s="16">
        <f t="shared" si="6"/>
        <v>0</v>
      </c>
      <c r="CJ5" s="16">
        <f t="shared" si="6"/>
        <v>0</v>
      </c>
      <c r="CK5" s="16">
        <f t="shared" si="6"/>
        <v>0</v>
      </c>
      <c r="CL5" s="16">
        <f t="shared" si="6"/>
        <v>0</v>
      </c>
      <c r="CM5" s="16">
        <f t="shared" si="6"/>
        <v>0</v>
      </c>
      <c r="CN5" s="16">
        <f t="shared" si="6"/>
        <v>0</v>
      </c>
      <c r="CO5" s="16">
        <f t="shared" si="6"/>
        <v>0</v>
      </c>
      <c r="CP5" s="16">
        <f t="shared" si="6"/>
        <v>0</v>
      </c>
      <c r="CQ5" s="16">
        <f t="shared" si="6"/>
        <v>0.41268149999999998</v>
      </c>
      <c r="CR5" s="16">
        <f t="shared" si="6"/>
        <v>1.9089744008</v>
      </c>
      <c r="CS5" s="16">
        <f t="shared" si="6"/>
        <v>2.3507210870000002</v>
      </c>
      <c r="CT5" s="16">
        <f t="shared" si="6"/>
        <v>1.8189693120000001</v>
      </c>
      <c r="CU5" s="16">
        <f t="shared" si="6"/>
        <v>1.2045296999999999</v>
      </c>
      <c r="CV5" s="16">
        <f t="shared" si="6"/>
        <v>2.1194476</v>
      </c>
      <c r="CW5" s="16">
        <f t="shared" si="6"/>
        <v>0.77038624</v>
      </c>
      <c r="CX5" s="16">
        <f t="shared" si="6"/>
        <v>0</v>
      </c>
      <c r="CY5" s="16">
        <f t="shared" si="6"/>
        <v>0</v>
      </c>
      <c r="CZ5" s="16">
        <f t="shared" si="6"/>
        <v>2.4681344799999998</v>
      </c>
      <c r="DA5" s="16">
        <f t="shared" si="6"/>
        <v>1.13221368</v>
      </c>
      <c r="DB5" s="16">
        <f t="shared" si="6"/>
        <v>4.8148665599999996</v>
      </c>
      <c r="DC5" s="16">
        <f t="shared" si="6"/>
        <v>4.2268150499999999</v>
      </c>
      <c r="DD5" s="16">
        <f t="shared" si="6"/>
        <v>0</v>
      </c>
      <c r="DE5" s="16">
        <f t="shared" si="6"/>
        <v>4.3521548399999999</v>
      </c>
      <c r="DF5" s="16">
        <f t="shared" si="6"/>
        <v>1.8218749999999999</v>
      </c>
      <c r="DG5" s="16">
        <f t="shared" si="6"/>
        <v>4.350220600000001</v>
      </c>
      <c r="DH5" s="16">
        <f t="shared" si="6"/>
        <v>15.111772352250002</v>
      </c>
      <c r="DI5" s="16">
        <f t="shared" si="6"/>
        <v>9.4578314450000001</v>
      </c>
      <c r="DJ5" s="16">
        <f t="shared" si="6"/>
        <v>19.601794584</v>
      </c>
      <c r="DK5" s="16">
        <f t="shared" si="6"/>
        <v>12.381754724099999</v>
      </c>
      <c r="DL5" s="16">
        <f t="shared" si="6"/>
        <v>12.831930120500001</v>
      </c>
      <c r="DM5" s="16">
        <f t="shared" si="6"/>
        <v>13.0672730006</v>
      </c>
      <c r="DN5" s="16">
        <f t="shared" si="6"/>
        <v>3.2543846399999996</v>
      </c>
      <c r="DO5" s="16">
        <f t="shared" si="6"/>
        <v>16.66669344</v>
      </c>
      <c r="DP5" s="16">
        <f t="shared" si="6"/>
        <v>18.1735731618</v>
      </c>
      <c r="DQ5" s="16">
        <f t="shared" si="6"/>
        <v>36.853874714599996</v>
      </c>
      <c r="DR5" s="16">
        <f t="shared" si="6"/>
        <v>16.591609407999997</v>
      </c>
      <c r="DS5" s="16">
        <f t="shared" si="6"/>
        <v>17.602561665</v>
      </c>
      <c r="DT5" s="16">
        <f t="shared" si="6"/>
        <v>7.0745977800000004</v>
      </c>
      <c r="DU5" s="16">
        <f t="shared" si="6"/>
        <v>3.1931009399999999</v>
      </c>
      <c r="DV5" s="16">
        <f t="shared" si="6"/>
        <v>14.751059947999995</v>
      </c>
      <c r="DW5" s="16">
        <f t="shared" si="6"/>
        <v>21.037696007999998</v>
      </c>
      <c r="DX5" s="16">
        <f t="shared" si="6"/>
        <v>18.356409827899999</v>
      </c>
      <c r="DY5" s="16">
        <f t="shared" si="6"/>
        <v>25.505602887999995</v>
      </c>
      <c r="DZ5" s="16">
        <f t="shared" si="6"/>
        <v>0</v>
      </c>
      <c r="EA5" s="16">
        <f t="shared" si="6"/>
        <v>0</v>
      </c>
      <c r="EB5" s="16">
        <f t="shared" si="6"/>
        <v>3.4357474575000011</v>
      </c>
      <c r="EC5" s="16">
        <f t="shared" si="6"/>
        <v>18.445296340799999</v>
      </c>
      <c r="ED5" s="16">
        <f t="shared" si="6"/>
        <v>14.411480987999999</v>
      </c>
      <c r="EE5" s="16">
        <f t="shared" si="6"/>
        <v>2.93609016</v>
      </c>
      <c r="EF5" s="16">
        <f t="shared" si="6"/>
        <v>7.7485347149999999</v>
      </c>
      <c r="EG5" s="16">
        <f t="shared" si="6"/>
        <v>0</v>
      </c>
      <c r="EH5" s="16">
        <f t="shared" si="6"/>
        <v>0</v>
      </c>
      <c r="EI5" s="16">
        <f t="shared" si="6"/>
        <v>0</v>
      </c>
      <c r="EJ5" s="16">
        <f t="shared" si="6"/>
        <v>0</v>
      </c>
      <c r="EK5" s="16">
        <f t="shared" si="6"/>
        <v>0</v>
      </c>
      <c r="EL5" s="16">
        <f t="shared" si="6"/>
        <v>0</v>
      </c>
      <c r="EM5" s="16">
        <f t="shared" si="6"/>
        <v>0</v>
      </c>
      <c r="EN5" s="16">
        <f t="shared" si="6"/>
        <v>0</v>
      </c>
      <c r="EO5" s="16">
        <f t="shared" si="6"/>
        <v>0</v>
      </c>
      <c r="EP5" s="16">
        <f t="shared" si="6"/>
        <v>0</v>
      </c>
      <c r="EQ5" s="16">
        <f t="shared" si="6"/>
        <v>0</v>
      </c>
      <c r="ER5" s="16">
        <f t="shared" ref="ER5:HC5" si="7">ER3*ER4/1000000</f>
        <v>0</v>
      </c>
      <c r="ES5" s="16">
        <f t="shared" si="7"/>
        <v>0</v>
      </c>
      <c r="ET5" s="16">
        <f t="shared" si="7"/>
        <v>0</v>
      </c>
      <c r="EU5" s="16">
        <f t="shared" si="7"/>
        <v>0</v>
      </c>
      <c r="EV5" s="16">
        <f t="shared" si="7"/>
        <v>0.78563574999999997</v>
      </c>
      <c r="EW5" s="16">
        <f t="shared" si="7"/>
        <v>0</v>
      </c>
      <c r="EX5" s="16">
        <f t="shared" si="7"/>
        <v>0</v>
      </c>
      <c r="EY5" s="16">
        <f t="shared" si="7"/>
        <v>18.042053643800003</v>
      </c>
      <c r="EZ5" s="16">
        <f t="shared" si="7"/>
        <v>5.2103043248999992</v>
      </c>
      <c r="FA5" s="16">
        <f t="shared" si="7"/>
        <v>0</v>
      </c>
      <c r="FB5" s="16">
        <f t="shared" si="7"/>
        <v>0</v>
      </c>
      <c r="FC5" s="16">
        <f t="shared" si="7"/>
        <v>0</v>
      </c>
      <c r="FD5" s="16">
        <f t="shared" si="7"/>
        <v>0</v>
      </c>
      <c r="FE5" s="16">
        <f t="shared" si="7"/>
        <v>0</v>
      </c>
      <c r="FF5" s="16">
        <f t="shared" si="7"/>
        <v>0</v>
      </c>
      <c r="FG5" s="16">
        <f t="shared" si="7"/>
        <v>0</v>
      </c>
      <c r="FH5" s="16">
        <f t="shared" si="7"/>
        <v>0</v>
      </c>
      <c r="FI5" s="16">
        <f t="shared" si="7"/>
        <v>0</v>
      </c>
      <c r="FJ5" s="16">
        <f t="shared" si="7"/>
        <v>0</v>
      </c>
      <c r="FK5" s="16">
        <f t="shared" si="7"/>
        <v>0</v>
      </c>
      <c r="FL5" s="16">
        <f t="shared" si="7"/>
        <v>0</v>
      </c>
      <c r="FM5" s="16">
        <f t="shared" si="7"/>
        <v>22.388728960000002</v>
      </c>
      <c r="FN5" s="16">
        <f t="shared" si="7"/>
        <v>13.200000059999999</v>
      </c>
      <c r="FO5" s="16">
        <f t="shared" si="7"/>
        <v>10.697244340600001</v>
      </c>
      <c r="FP5" s="16">
        <f t="shared" si="7"/>
        <v>11.673721450400002</v>
      </c>
      <c r="FQ5" s="16">
        <f t="shared" si="7"/>
        <v>20.139999389100002</v>
      </c>
      <c r="FR5" s="16">
        <f t="shared" si="7"/>
        <v>21.065548623999995</v>
      </c>
      <c r="FS5" s="16">
        <f t="shared" si="7"/>
        <v>35.834546159999995</v>
      </c>
      <c r="FT5" s="16">
        <f t="shared" si="7"/>
        <v>41.247341777599999</v>
      </c>
      <c r="FU5" s="16">
        <f t="shared" si="7"/>
        <v>33.71726888109999</v>
      </c>
      <c r="FV5" s="16">
        <f t="shared" si="7"/>
        <v>37.254712652899997</v>
      </c>
      <c r="FW5" s="16">
        <f t="shared" si="7"/>
        <v>19.263041232599996</v>
      </c>
      <c r="FX5" s="16">
        <f t="shared" si="7"/>
        <v>27.598813970000002</v>
      </c>
      <c r="FY5" s="16">
        <f t="shared" si="7"/>
        <v>13.833029125999998</v>
      </c>
      <c r="FZ5" s="16">
        <f t="shared" si="7"/>
        <v>26.919548361900006</v>
      </c>
      <c r="GA5" s="16">
        <f t="shared" si="7"/>
        <v>42.272728102000002</v>
      </c>
      <c r="GB5" s="16">
        <f t="shared" si="7"/>
        <v>31.662304844400008</v>
      </c>
      <c r="GC5" s="16">
        <f t="shared" si="7"/>
        <v>24.955523685000003</v>
      </c>
      <c r="GD5" s="16">
        <f t="shared" si="7"/>
        <v>33.578032083199993</v>
      </c>
      <c r="GE5" s="16">
        <f t="shared" si="7"/>
        <v>27.839080339200006</v>
      </c>
      <c r="GF5" s="16">
        <f t="shared" si="7"/>
        <v>30.347251164099998</v>
      </c>
      <c r="GG5" s="16">
        <f t="shared" si="7"/>
        <v>22.657621515699997</v>
      </c>
      <c r="GH5" s="16">
        <f t="shared" si="7"/>
        <v>24.315391553099996</v>
      </c>
      <c r="GI5" s="16">
        <f t="shared" si="7"/>
        <v>12.152246435999999</v>
      </c>
      <c r="GJ5" s="16">
        <f t="shared" si="7"/>
        <v>5.6950821399999993</v>
      </c>
      <c r="GK5" s="16">
        <f t="shared" si="7"/>
        <v>2.69996883</v>
      </c>
      <c r="GL5" s="16">
        <f t="shared" si="7"/>
        <v>1.3801492799999999</v>
      </c>
      <c r="GM5" s="16">
        <f t="shared" si="7"/>
        <v>0</v>
      </c>
      <c r="GN5" s="16">
        <f t="shared" si="7"/>
        <v>4.9245723161599999</v>
      </c>
      <c r="GO5" s="16">
        <f t="shared" si="7"/>
        <v>1.3225121000000002</v>
      </c>
      <c r="GP5" s="16">
        <f t="shared" si="7"/>
        <v>1.1478519095999999</v>
      </c>
      <c r="GQ5" s="16">
        <f t="shared" si="7"/>
        <v>9.7878116500000001</v>
      </c>
      <c r="GR5" s="16">
        <f t="shared" si="7"/>
        <v>0</v>
      </c>
      <c r="GS5" s="16">
        <f t="shared" si="7"/>
        <v>6.3353113600000004</v>
      </c>
      <c r="GT5" s="16">
        <f t="shared" si="7"/>
        <v>9.1088126700000007</v>
      </c>
      <c r="GU5" s="16">
        <f t="shared" si="7"/>
        <v>0.2025914</v>
      </c>
      <c r="GV5" s="16">
        <f t="shared" si="7"/>
        <v>4.4964092799999991</v>
      </c>
      <c r="GW5" s="16">
        <f t="shared" si="7"/>
        <v>16.765408968559999</v>
      </c>
      <c r="GX5" s="16">
        <f t="shared" si="7"/>
        <v>2.2356433980000001</v>
      </c>
      <c r="GY5" s="16">
        <f t="shared" si="7"/>
        <v>5.5969322399999992</v>
      </c>
      <c r="GZ5" s="16">
        <f t="shared" si="7"/>
        <v>6.5675959164199993</v>
      </c>
      <c r="HA5" s="16">
        <f t="shared" si="7"/>
        <v>4.5570511044300011</v>
      </c>
      <c r="HB5" s="16">
        <f t="shared" si="7"/>
        <v>3.5975367125399997</v>
      </c>
      <c r="HC5" s="16">
        <f t="shared" si="7"/>
        <v>16.266181605880007</v>
      </c>
      <c r="HD5" s="16">
        <f t="shared" ref="HD5:HI5" si="8">HD3*HD4/1000000</f>
        <v>16.943189157184001</v>
      </c>
      <c r="HE5" s="16">
        <f t="shared" si="8"/>
        <v>0.1156885</v>
      </c>
      <c r="HF5" s="16">
        <f t="shared" si="8"/>
        <v>18.259854386100002</v>
      </c>
      <c r="HG5" s="16">
        <f t="shared" si="8"/>
        <v>25.893916973499998</v>
      </c>
      <c r="HH5" s="16">
        <f t="shared" si="8"/>
        <v>2.51389</v>
      </c>
      <c r="HI5" s="16">
        <f t="shared" si="8"/>
        <v>0</v>
      </c>
      <c r="HJ5" s="16"/>
      <c r="HK5" s="16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x14ac:dyDescent="0.25">
      <c r="B6" s="14"/>
      <c r="D6" s="17" t="s">
        <v>935</v>
      </c>
      <c r="E6" s="18">
        <f t="shared" ref="E6" si="9">F6+E5</f>
        <v>1341.4646354487236</v>
      </c>
      <c r="F6" s="18">
        <f t="shared" ref="F6" si="10">G6+F5</f>
        <v>1337.0885618487237</v>
      </c>
      <c r="G6" s="18">
        <f t="shared" ref="G6" si="11">H6+G5</f>
        <v>1332.5167022487237</v>
      </c>
      <c r="H6" s="18">
        <f t="shared" ref="H6" si="12">I6+H5</f>
        <v>1332.5167022487237</v>
      </c>
      <c r="I6" s="18">
        <f t="shared" ref="I6" si="13">J6+I5</f>
        <v>1331.0013952487238</v>
      </c>
      <c r="J6" s="18">
        <f t="shared" ref="J6" si="14">K6+J5</f>
        <v>1325.5871676987238</v>
      </c>
      <c r="K6" s="18">
        <f t="shared" ref="K6:R6" si="15">L6+K5</f>
        <v>1325.5871676987238</v>
      </c>
      <c r="L6" s="18">
        <f t="shared" si="15"/>
        <v>1322.3499014072238</v>
      </c>
      <c r="M6" s="18">
        <f t="shared" si="15"/>
        <v>1318.9120422272238</v>
      </c>
      <c r="N6" s="18">
        <f t="shared" si="15"/>
        <v>1313.3685201738238</v>
      </c>
      <c r="O6" s="18">
        <f t="shared" si="15"/>
        <v>1312.0155839738238</v>
      </c>
      <c r="P6" s="18">
        <f t="shared" si="15"/>
        <v>1308.8511665738238</v>
      </c>
      <c r="Q6" s="18">
        <f t="shared" si="15"/>
        <v>1297.3001651238237</v>
      </c>
      <c r="R6" s="18">
        <f t="shared" si="15"/>
        <v>1286.8327710738238</v>
      </c>
      <c r="S6" s="18">
        <f>T6+S5</f>
        <v>1286.8327710738238</v>
      </c>
      <c r="T6" s="18">
        <f t="shared" ref="T6" si="16">U6+T5</f>
        <v>1286.8327710738238</v>
      </c>
      <c r="U6" s="18">
        <f t="shared" ref="U6:HH6" si="17">V6+U5</f>
        <v>1286.8327710738238</v>
      </c>
      <c r="V6" s="18">
        <f t="shared" si="17"/>
        <v>1286.8327710738238</v>
      </c>
      <c r="W6" s="18">
        <f t="shared" si="17"/>
        <v>1286.8327710738238</v>
      </c>
      <c r="X6" s="18">
        <f t="shared" si="17"/>
        <v>1286.8327710738238</v>
      </c>
      <c r="Y6" s="18">
        <f t="shared" si="17"/>
        <v>1285.3426725738238</v>
      </c>
      <c r="Z6" s="18">
        <f t="shared" si="17"/>
        <v>1282.0627406138237</v>
      </c>
      <c r="AA6" s="18">
        <f t="shared" si="17"/>
        <v>1278.2878858938238</v>
      </c>
      <c r="AB6" s="18">
        <f t="shared" si="17"/>
        <v>1275.2091587298239</v>
      </c>
      <c r="AC6" s="18">
        <f t="shared" si="17"/>
        <v>1270.3633229298239</v>
      </c>
      <c r="AD6" s="18">
        <f t="shared" si="17"/>
        <v>1262.9989227198239</v>
      </c>
      <c r="AE6" s="18">
        <f t="shared" si="17"/>
        <v>1255.5402319998238</v>
      </c>
      <c r="AF6" s="18">
        <f t="shared" si="17"/>
        <v>1239.6580034398239</v>
      </c>
      <c r="AG6" s="18">
        <f t="shared" si="17"/>
        <v>1235.3086153298239</v>
      </c>
      <c r="AH6" s="18">
        <f t="shared" si="17"/>
        <v>1225.5371282498238</v>
      </c>
      <c r="AI6" s="18">
        <f t="shared" si="17"/>
        <v>1214.9404615298238</v>
      </c>
      <c r="AJ6" s="18">
        <f t="shared" si="17"/>
        <v>1208.9522353698237</v>
      </c>
      <c r="AK6" s="18">
        <f t="shared" si="17"/>
        <v>1206.7250188698238</v>
      </c>
      <c r="AL6" s="18">
        <f t="shared" si="17"/>
        <v>1206.7250188698238</v>
      </c>
      <c r="AM6" s="18">
        <f t="shared" si="17"/>
        <v>1206.7250188698238</v>
      </c>
      <c r="AN6" s="18">
        <f t="shared" si="17"/>
        <v>1206.7250188698238</v>
      </c>
      <c r="AO6" s="18">
        <f t="shared" si="17"/>
        <v>1206.7250188698238</v>
      </c>
      <c r="AP6" s="18">
        <f t="shared" si="17"/>
        <v>1206.7250188698238</v>
      </c>
      <c r="AQ6" s="18">
        <f t="shared" si="17"/>
        <v>1206.7250188698238</v>
      </c>
      <c r="AR6" s="18">
        <f t="shared" si="17"/>
        <v>1206.7250188698238</v>
      </c>
      <c r="AS6" s="18">
        <f t="shared" si="17"/>
        <v>1206.7250188698238</v>
      </c>
      <c r="AT6" s="18">
        <f t="shared" si="17"/>
        <v>1206.7250188698238</v>
      </c>
      <c r="AU6" s="18">
        <f t="shared" si="17"/>
        <v>1206.7250188698238</v>
      </c>
      <c r="AV6" s="18">
        <f t="shared" si="17"/>
        <v>1206.7250188698238</v>
      </c>
      <c r="AW6" s="18">
        <f t="shared" si="17"/>
        <v>1206.7250188698238</v>
      </c>
      <c r="AX6" s="18">
        <f t="shared" si="17"/>
        <v>1206.7250188698238</v>
      </c>
      <c r="AY6" s="18">
        <f t="shared" si="17"/>
        <v>1206.7250188698238</v>
      </c>
      <c r="AZ6" s="18">
        <f t="shared" si="17"/>
        <v>1206.7250188698238</v>
      </c>
      <c r="BA6" s="18">
        <f t="shared" si="17"/>
        <v>1204.9757862198237</v>
      </c>
      <c r="BB6" s="18">
        <f t="shared" si="17"/>
        <v>1204.9757862198237</v>
      </c>
      <c r="BC6" s="18">
        <f t="shared" si="17"/>
        <v>1197.7504559398237</v>
      </c>
      <c r="BD6" s="18">
        <f t="shared" si="17"/>
        <v>1193.4778960398237</v>
      </c>
      <c r="BE6" s="18">
        <f t="shared" si="17"/>
        <v>1187.0957925998237</v>
      </c>
      <c r="BF6" s="18">
        <f t="shared" si="17"/>
        <v>1185.4006034798238</v>
      </c>
      <c r="BG6" s="18">
        <f t="shared" si="17"/>
        <v>1180.5196536998237</v>
      </c>
      <c r="BH6" s="18">
        <f t="shared" si="17"/>
        <v>1170.7698929498238</v>
      </c>
      <c r="BI6" s="18">
        <f t="shared" si="17"/>
        <v>1167.3364341498238</v>
      </c>
      <c r="BJ6" s="18">
        <f t="shared" si="17"/>
        <v>1166.2878261498238</v>
      </c>
      <c r="BK6" s="18">
        <f t="shared" si="17"/>
        <v>1163.3957433498238</v>
      </c>
      <c r="BL6" s="18">
        <f t="shared" si="17"/>
        <v>1161.7099416648239</v>
      </c>
      <c r="BM6" s="18">
        <f t="shared" si="17"/>
        <v>1161.5466874648239</v>
      </c>
      <c r="BN6" s="18">
        <f t="shared" si="17"/>
        <v>1158.713112164824</v>
      </c>
      <c r="BO6" s="18">
        <f t="shared" si="17"/>
        <v>1156.080652244824</v>
      </c>
      <c r="BP6" s="18">
        <f t="shared" si="17"/>
        <v>1156.080652244824</v>
      </c>
      <c r="BQ6" s="18">
        <f t="shared" si="17"/>
        <v>1154.152654474824</v>
      </c>
      <c r="BR6" s="18">
        <f t="shared" si="17"/>
        <v>1152.5829059348239</v>
      </c>
      <c r="BS6" s="18">
        <f t="shared" si="17"/>
        <v>1147.6957979648239</v>
      </c>
      <c r="BT6" s="18">
        <f t="shared" si="17"/>
        <v>1147.6957979648239</v>
      </c>
      <c r="BU6" s="18">
        <f t="shared" si="17"/>
        <v>1147.6957979648239</v>
      </c>
      <c r="BV6" s="18">
        <f t="shared" si="17"/>
        <v>1147.6957979648239</v>
      </c>
      <c r="BW6" s="18">
        <f t="shared" si="17"/>
        <v>1147.0678233848239</v>
      </c>
      <c r="BX6" s="18">
        <f t="shared" si="17"/>
        <v>1145.0173949948239</v>
      </c>
      <c r="BY6" s="18">
        <f t="shared" si="17"/>
        <v>1143.4847726648238</v>
      </c>
      <c r="BZ6" s="18">
        <f t="shared" si="17"/>
        <v>1140.5936127848238</v>
      </c>
      <c r="CA6" s="18">
        <f t="shared" si="17"/>
        <v>1137.7417454048239</v>
      </c>
      <c r="CB6" s="18">
        <f t="shared" si="17"/>
        <v>1137.7417454048239</v>
      </c>
      <c r="CC6" s="18">
        <f t="shared" si="17"/>
        <v>1137.7417454048239</v>
      </c>
      <c r="CD6" s="18">
        <f t="shared" si="17"/>
        <v>1137.7417454048239</v>
      </c>
      <c r="CE6" s="18">
        <f t="shared" si="17"/>
        <v>1137.7417454048239</v>
      </c>
      <c r="CF6" s="18">
        <f t="shared" si="17"/>
        <v>1137.7417454048239</v>
      </c>
      <c r="CG6" s="18">
        <f t="shared" si="17"/>
        <v>1137.7417454048239</v>
      </c>
      <c r="CH6" s="18">
        <f t="shared" si="17"/>
        <v>1137.7417454048239</v>
      </c>
      <c r="CI6" s="18">
        <f t="shared" si="17"/>
        <v>1137.3083406848239</v>
      </c>
      <c r="CJ6" s="18">
        <f t="shared" si="17"/>
        <v>1137.3083406848239</v>
      </c>
      <c r="CK6" s="18">
        <f t="shared" si="17"/>
        <v>1137.3083406848239</v>
      </c>
      <c r="CL6" s="18">
        <f t="shared" si="17"/>
        <v>1137.3083406848239</v>
      </c>
      <c r="CM6" s="18">
        <f t="shared" si="17"/>
        <v>1137.3083406848239</v>
      </c>
      <c r="CN6" s="18">
        <f t="shared" si="17"/>
        <v>1137.3083406848239</v>
      </c>
      <c r="CO6" s="18">
        <f t="shared" si="17"/>
        <v>1137.3083406848239</v>
      </c>
      <c r="CP6" s="18">
        <f t="shared" si="17"/>
        <v>1137.3083406848239</v>
      </c>
      <c r="CQ6" s="18">
        <f t="shared" si="17"/>
        <v>1137.3083406848239</v>
      </c>
      <c r="CR6" s="18">
        <f t="shared" si="17"/>
        <v>1136.8956591848239</v>
      </c>
      <c r="CS6" s="18">
        <f t="shared" si="17"/>
        <v>1134.986684784024</v>
      </c>
      <c r="CT6" s="18">
        <f t="shared" si="17"/>
        <v>1132.635963697024</v>
      </c>
      <c r="CU6" s="18">
        <f t="shared" si="17"/>
        <v>1130.8169943850239</v>
      </c>
      <c r="CV6" s="18">
        <f t="shared" si="17"/>
        <v>1129.612464685024</v>
      </c>
      <c r="CW6" s="18">
        <f t="shared" si="17"/>
        <v>1127.4930170850239</v>
      </c>
      <c r="CX6" s="18">
        <f t="shared" si="17"/>
        <v>1126.7226308450238</v>
      </c>
      <c r="CY6" s="18">
        <f t="shared" si="17"/>
        <v>1126.7226308450238</v>
      </c>
      <c r="CZ6" s="18">
        <f t="shared" si="17"/>
        <v>1126.7226308450238</v>
      </c>
      <c r="DA6" s="18">
        <f t="shared" si="17"/>
        <v>1124.2544963650239</v>
      </c>
      <c r="DB6" s="18">
        <f t="shared" si="17"/>
        <v>1123.1222826850239</v>
      </c>
      <c r="DC6" s="18">
        <f t="shared" si="17"/>
        <v>1118.307416125024</v>
      </c>
      <c r="DD6" s="18">
        <f t="shared" si="17"/>
        <v>1114.0806010750241</v>
      </c>
      <c r="DE6" s="18">
        <f t="shared" si="17"/>
        <v>1114.0806010750241</v>
      </c>
      <c r="DF6" s="18">
        <f t="shared" si="17"/>
        <v>1109.7284462350242</v>
      </c>
      <c r="DG6" s="18">
        <f t="shared" si="17"/>
        <v>1107.9065712350241</v>
      </c>
      <c r="DH6" s="18">
        <f t="shared" si="17"/>
        <v>1103.556350635024</v>
      </c>
      <c r="DI6" s="18">
        <f t="shared" si="17"/>
        <v>1088.444578282774</v>
      </c>
      <c r="DJ6" s="18">
        <f t="shared" si="17"/>
        <v>1078.986746837774</v>
      </c>
      <c r="DK6" s="18">
        <f t="shared" si="17"/>
        <v>1059.3849522537741</v>
      </c>
      <c r="DL6" s="18">
        <f t="shared" si="17"/>
        <v>1047.0031975296743</v>
      </c>
      <c r="DM6" s="18">
        <f t="shared" si="17"/>
        <v>1034.1712674091743</v>
      </c>
      <c r="DN6" s="18">
        <f t="shared" si="17"/>
        <v>1021.1039944085744</v>
      </c>
      <c r="DO6" s="18">
        <f t="shared" si="17"/>
        <v>1017.8496097685744</v>
      </c>
      <c r="DP6" s="18">
        <f t="shared" si="17"/>
        <v>1001.1829163285744</v>
      </c>
      <c r="DQ6" s="18">
        <f t="shared" si="17"/>
        <v>983.00934316677433</v>
      </c>
      <c r="DR6" s="18">
        <f t="shared" si="17"/>
        <v>946.15546845217432</v>
      </c>
      <c r="DS6" s="18">
        <f t="shared" si="17"/>
        <v>929.56385904417436</v>
      </c>
      <c r="DT6" s="18">
        <f t="shared" si="17"/>
        <v>911.96129737917431</v>
      </c>
      <c r="DU6" s="18">
        <f t="shared" si="17"/>
        <v>904.88669959917434</v>
      </c>
      <c r="DV6" s="18">
        <f t="shared" si="17"/>
        <v>901.69359865917431</v>
      </c>
      <c r="DW6" s="18">
        <f t="shared" si="17"/>
        <v>886.94253871117428</v>
      </c>
      <c r="DX6" s="18">
        <f t="shared" si="17"/>
        <v>865.90484270317427</v>
      </c>
      <c r="DY6" s="18">
        <f t="shared" si="17"/>
        <v>847.54843287527422</v>
      </c>
      <c r="DZ6" s="18">
        <f t="shared" si="17"/>
        <v>822.04282998727422</v>
      </c>
      <c r="EA6" s="18">
        <f t="shared" si="17"/>
        <v>822.04282998727422</v>
      </c>
      <c r="EB6" s="18">
        <f t="shared" si="17"/>
        <v>822.04282998727422</v>
      </c>
      <c r="EC6" s="18">
        <f t="shared" si="17"/>
        <v>818.60708252977417</v>
      </c>
      <c r="ED6" s="18">
        <f t="shared" si="17"/>
        <v>800.16178618897413</v>
      </c>
      <c r="EE6" s="18">
        <f t="shared" si="17"/>
        <v>785.75030520097414</v>
      </c>
      <c r="EF6" s="18">
        <f t="shared" si="17"/>
        <v>782.81421504097409</v>
      </c>
      <c r="EG6" s="18">
        <f t="shared" si="17"/>
        <v>775.06568032597409</v>
      </c>
      <c r="EH6" s="18">
        <f t="shared" si="17"/>
        <v>775.06568032597409</v>
      </c>
      <c r="EI6" s="18">
        <f t="shared" si="17"/>
        <v>775.06568032597409</v>
      </c>
      <c r="EJ6" s="18">
        <f t="shared" si="17"/>
        <v>775.06568032597409</v>
      </c>
      <c r="EK6" s="18">
        <f t="shared" si="17"/>
        <v>775.06568032597409</v>
      </c>
      <c r="EL6" s="18">
        <f t="shared" si="17"/>
        <v>775.06568032597409</v>
      </c>
      <c r="EM6" s="18">
        <f t="shared" si="17"/>
        <v>775.06568032597409</v>
      </c>
      <c r="EN6" s="18">
        <f t="shared" si="17"/>
        <v>775.06568032597409</v>
      </c>
      <c r="EO6" s="18">
        <f t="shared" si="17"/>
        <v>775.06568032597409</v>
      </c>
      <c r="EP6" s="18">
        <f t="shared" si="17"/>
        <v>775.06568032597409</v>
      </c>
      <c r="EQ6" s="18">
        <f t="shared" si="17"/>
        <v>775.06568032597409</v>
      </c>
      <c r="ER6" s="18">
        <f t="shared" si="17"/>
        <v>775.06568032597409</v>
      </c>
      <c r="ES6" s="18">
        <f t="shared" si="17"/>
        <v>775.06568032597409</v>
      </c>
      <c r="ET6" s="18">
        <f t="shared" si="17"/>
        <v>775.06568032597409</v>
      </c>
      <c r="EU6" s="18">
        <f t="shared" si="17"/>
        <v>775.06568032597409</v>
      </c>
      <c r="EV6" s="18">
        <f t="shared" si="17"/>
        <v>775.06568032597409</v>
      </c>
      <c r="EW6" s="18">
        <f t="shared" si="17"/>
        <v>774.2800445759741</v>
      </c>
      <c r="EX6" s="18">
        <f t="shared" si="17"/>
        <v>774.2800445759741</v>
      </c>
      <c r="EY6" s="18">
        <f t="shared" si="17"/>
        <v>774.2800445759741</v>
      </c>
      <c r="EZ6" s="18">
        <f t="shared" si="17"/>
        <v>756.23799093217406</v>
      </c>
      <c r="FA6" s="18">
        <f t="shared" si="17"/>
        <v>751.02768660727406</v>
      </c>
      <c r="FB6" s="18">
        <f t="shared" si="17"/>
        <v>751.02768660727406</v>
      </c>
      <c r="FC6" s="18">
        <f t="shared" si="17"/>
        <v>751.02768660727406</v>
      </c>
      <c r="FD6" s="18">
        <f t="shared" si="17"/>
        <v>751.02768660727406</v>
      </c>
      <c r="FE6" s="18">
        <f t="shared" si="17"/>
        <v>751.02768660727406</v>
      </c>
      <c r="FF6" s="18">
        <f t="shared" si="17"/>
        <v>751.02768660727406</v>
      </c>
      <c r="FG6" s="18">
        <f t="shared" si="17"/>
        <v>751.02768660727406</v>
      </c>
      <c r="FH6" s="18">
        <f t="shared" si="17"/>
        <v>751.02768660727406</v>
      </c>
      <c r="FI6" s="18">
        <f t="shared" si="17"/>
        <v>751.02768660727406</v>
      </c>
      <c r="FJ6" s="18">
        <f t="shared" si="17"/>
        <v>751.02768660727406</v>
      </c>
      <c r="FK6" s="18">
        <f t="shared" si="17"/>
        <v>751.02768660727406</v>
      </c>
      <c r="FL6" s="18">
        <f t="shared" si="17"/>
        <v>751.02768660727406</v>
      </c>
      <c r="FM6" s="18">
        <f t="shared" si="17"/>
        <v>751.02768660727406</v>
      </c>
      <c r="FN6" s="18">
        <f t="shared" si="17"/>
        <v>728.63895764727408</v>
      </c>
      <c r="FO6" s="18">
        <f t="shared" si="17"/>
        <v>715.4389575872741</v>
      </c>
      <c r="FP6" s="18">
        <f t="shared" si="17"/>
        <v>704.74171324667407</v>
      </c>
      <c r="FQ6" s="18">
        <f t="shared" si="17"/>
        <v>693.0679917962741</v>
      </c>
      <c r="FR6" s="18">
        <f t="shared" si="17"/>
        <v>672.92799240717409</v>
      </c>
      <c r="FS6" s="18">
        <f t="shared" si="17"/>
        <v>651.86244378317406</v>
      </c>
      <c r="FT6" s="18">
        <f t="shared" si="17"/>
        <v>616.02789762317411</v>
      </c>
      <c r="FU6" s="18">
        <f t="shared" si="17"/>
        <v>574.7805558455741</v>
      </c>
      <c r="FV6" s="18">
        <f t="shared" si="17"/>
        <v>541.06328696447406</v>
      </c>
      <c r="FW6" s="18">
        <f t="shared" si="17"/>
        <v>503.80857431157409</v>
      </c>
      <c r="FX6" s="18">
        <f t="shared" si="17"/>
        <v>484.54553307897407</v>
      </c>
      <c r="FY6" s="18">
        <f t="shared" si="17"/>
        <v>456.94671910897409</v>
      </c>
      <c r="FZ6" s="18">
        <f t="shared" si="17"/>
        <v>443.11368998297411</v>
      </c>
      <c r="GA6" s="18">
        <f t="shared" si="17"/>
        <v>416.1941416210741</v>
      </c>
      <c r="GB6" s="18">
        <f t="shared" si="17"/>
        <v>373.92141351907406</v>
      </c>
      <c r="GC6" s="18">
        <f t="shared" si="17"/>
        <v>342.25910867467405</v>
      </c>
      <c r="GD6" s="18">
        <f t="shared" si="17"/>
        <v>317.30358498967405</v>
      </c>
      <c r="GE6" s="18">
        <f t="shared" si="17"/>
        <v>283.72555290647404</v>
      </c>
      <c r="GF6" s="18">
        <f t="shared" si="17"/>
        <v>255.88647256727401</v>
      </c>
      <c r="GG6" s="18">
        <f t="shared" si="17"/>
        <v>225.53922140317403</v>
      </c>
      <c r="GH6" s="18">
        <f t="shared" si="17"/>
        <v>202.88159988747404</v>
      </c>
      <c r="GI6" s="18">
        <f t="shared" si="17"/>
        <v>178.56620833437404</v>
      </c>
      <c r="GJ6" s="18">
        <f t="shared" si="17"/>
        <v>166.41396189837405</v>
      </c>
      <c r="GK6" s="18">
        <f t="shared" si="17"/>
        <v>160.71887975837404</v>
      </c>
      <c r="GL6" s="18">
        <f t="shared" si="17"/>
        <v>158.01891092837405</v>
      </c>
      <c r="GM6" s="18">
        <f t="shared" si="17"/>
        <v>156.63876164837404</v>
      </c>
      <c r="GN6" s="18">
        <f t="shared" si="17"/>
        <v>156.63876164837404</v>
      </c>
      <c r="GO6" s="18">
        <f t="shared" si="17"/>
        <v>151.71418933221403</v>
      </c>
      <c r="GP6" s="18">
        <f t="shared" si="17"/>
        <v>150.39167723221402</v>
      </c>
      <c r="GQ6" s="18">
        <f t="shared" si="17"/>
        <v>149.24382532261401</v>
      </c>
      <c r="GR6" s="18">
        <f t="shared" si="17"/>
        <v>139.45601367261401</v>
      </c>
      <c r="GS6" s="18">
        <f t="shared" si="17"/>
        <v>139.45601367261401</v>
      </c>
      <c r="GT6" s="18">
        <f t="shared" si="17"/>
        <v>133.12070231261401</v>
      </c>
      <c r="GU6" s="18">
        <f t="shared" si="17"/>
        <v>124.01188964261401</v>
      </c>
      <c r="GV6" s="18">
        <f t="shared" si="17"/>
        <v>123.80929824261401</v>
      </c>
      <c r="GW6" s="18">
        <f t="shared" si="17"/>
        <v>119.31288896261401</v>
      </c>
      <c r="GX6" s="18">
        <f t="shared" si="17"/>
        <v>102.54747999405402</v>
      </c>
      <c r="GY6" s="18">
        <f t="shared" si="17"/>
        <v>100.31183659605402</v>
      </c>
      <c r="GZ6" s="18">
        <f t="shared" si="17"/>
        <v>94.714904356054021</v>
      </c>
      <c r="HA6" s="18">
        <f t="shared" si="17"/>
        <v>88.147308439634017</v>
      </c>
      <c r="HB6" s="18">
        <f t="shared" si="17"/>
        <v>83.590257335204015</v>
      </c>
      <c r="HC6" s="18">
        <f t="shared" si="17"/>
        <v>79.99272062266401</v>
      </c>
      <c r="HD6" s="18">
        <f t="shared" si="17"/>
        <v>63.726539016784002</v>
      </c>
      <c r="HE6" s="18">
        <f t="shared" si="17"/>
        <v>46.783349859600001</v>
      </c>
      <c r="HF6" s="18">
        <f t="shared" si="17"/>
        <v>46.667661359600004</v>
      </c>
      <c r="HG6" s="18">
        <f t="shared" si="17"/>
        <v>28.407806973499998</v>
      </c>
      <c r="HH6" s="18">
        <f t="shared" si="17"/>
        <v>2.51389</v>
      </c>
      <c r="HI6" s="18">
        <f>HI5</f>
        <v>0</v>
      </c>
      <c r="HJ6" s="18"/>
      <c r="HK6" s="18"/>
    </row>
    <row r="7" spans="1:231" ht="14.25" x14ac:dyDescent="0.2">
      <c r="D7" s="17" t="s">
        <v>113</v>
      </c>
      <c r="E7" s="3">
        <f t="shared" ref="E7" si="18">F7+E3</f>
        <v>139921.9443</v>
      </c>
      <c r="F7" s="3">
        <f t="shared" ref="F7" si="19">G7+F3</f>
        <v>139441.9443</v>
      </c>
      <c r="G7" s="3">
        <f t="shared" ref="G7" si="20">H7+G3</f>
        <v>138937.9443</v>
      </c>
      <c r="H7" s="3">
        <f t="shared" ref="H7" si="21">I7+H3</f>
        <v>138937.9443</v>
      </c>
      <c r="I7" s="3">
        <f t="shared" ref="I7" si="22">J7+I3</f>
        <v>138764.9443</v>
      </c>
      <c r="J7" s="3">
        <f t="shared" ref="J7" si="23">K7+J3</f>
        <v>138157.9443</v>
      </c>
      <c r="K7" s="3">
        <f t="shared" ref="K7" si="24">L7+K3</f>
        <v>138157.9443</v>
      </c>
      <c r="L7" s="3">
        <f t="shared" ref="L7" si="25">M7+L3</f>
        <v>137778.49429999999</v>
      </c>
      <c r="M7" s="3">
        <f t="shared" ref="M7" si="26">N7+M3</f>
        <v>137383.6943</v>
      </c>
      <c r="N7" s="3">
        <f t="shared" ref="N7" si="27">O7+N3</f>
        <v>136754.63430000001</v>
      </c>
      <c r="O7" s="3">
        <f t="shared" ref="O7" si="28">P7+O3</f>
        <v>136600.63430000001</v>
      </c>
      <c r="P7" s="3">
        <f t="shared" ref="P7" si="29">Q7+P3</f>
        <v>136260.63430000001</v>
      </c>
      <c r="Q7" s="3">
        <f t="shared" ref="Q7" si="30">R7+Q3</f>
        <v>135065.63430000001</v>
      </c>
      <c r="R7" s="3">
        <f t="shared" ref="R7" si="31">S7+R3</f>
        <v>134016.63430000001</v>
      </c>
      <c r="S7" s="3">
        <f t="shared" ref="S7" si="32">T7+S3</f>
        <v>134016.63430000001</v>
      </c>
      <c r="T7" s="3">
        <f t="shared" ref="T7" si="33">U7+T3</f>
        <v>134016.63430000001</v>
      </c>
      <c r="U7" s="3">
        <f t="shared" ref="U7:HI7" si="34">V7+U3</f>
        <v>134016.63430000001</v>
      </c>
      <c r="V7" s="3">
        <f t="shared" si="34"/>
        <v>134016.63430000001</v>
      </c>
      <c r="W7" s="3">
        <f t="shared" si="34"/>
        <v>134016.63430000001</v>
      </c>
      <c r="X7" s="3">
        <f t="shared" si="34"/>
        <v>134016.63430000001</v>
      </c>
      <c r="Y7" s="3">
        <f t="shared" si="34"/>
        <v>133866.63430000001</v>
      </c>
      <c r="Z7" s="3">
        <f t="shared" si="34"/>
        <v>133535.63430000001</v>
      </c>
      <c r="AA7" s="3">
        <f t="shared" si="34"/>
        <v>133171.63430000001</v>
      </c>
      <c r="AB7" s="3">
        <f t="shared" si="34"/>
        <v>132871.0343</v>
      </c>
      <c r="AC7" s="3">
        <f t="shared" si="34"/>
        <v>132403.0343</v>
      </c>
      <c r="AD7" s="3">
        <f t="shared" si="34"/>
        <v>131686.0343</v>
      </c>
      <c r="AE7" s="3">
        <f t="shared" si="34"/>
        <v>130929.03430000001</v>
      </c>
      <c r="AF7" s="3">
        <f t="shared" si="34"/>
        <v>129367.03430000001</v>
      </c>
      <c r="AG7" s="3">
        <f t="shared" si="34"/>
        <v>128928.03430000001</v>
      </c>
      <c r="AH7" s="3">
        <f t="shared" si="34"/>
        <v>127932.03430000001</v>
      </c>
      <c r="AI7" s="3">
        <f t="shared" si="34"/>
        <v>126846.03430000001</v>
      </c>
      <c r="AJ7" s="3">
        <f t="shared" si="34"/>
        <v>126223.03430000001</v>
      </c>
      <c r="AK7" s="3">
        <f t="shared" si="34"/>
        <v>125980.03430000001</v>
      </c>
      <c r="AL7" s="3">
        <f t="shared" si="34"/>
        <v>125980.03430000001</v>
      </c>
      <c r="AM7" s="3">
        <f t="shared" si="34"/>
        <v>125980.03430000001</v>
      </c>
      <c r="AN7" s="3">
        <f t="shared" si="34"/>
        <v>125980.03430000001</v>
      </c>
      <c r="AO7" s="3">
        <f t="shared" si="34"/>
        <v>125980.03430000001</v>
      </c>
      <c r="AP7" s="3">
        <f t="shared" si="34"/>
        <v>125980.03430000001</v>
      </c>
      <c r="AQ7" s="3">
        <f t="shared" si="34"/>
        <v>125980.03430000001</v>
      </c>
      <c r="AR7" s="3">
        <f t="shared" si="34"/>
        <v>125980.03430000001</v>
      </c>
      <c r="AS7" s="3">
        <f t="shared" si="34"/>
        <v>125980.03430000001</v>
      </c>
      <c r="AT7" s="3">
        <f t="shared" si="34"/>
        <v>125980.03430000001</v>
      </c>
      <c r="AU7" s="3">
        <f t="shared" si="34"/>
        <v>125980.03430000001</v>
      </c>
      <c r="AV7" s="3">
        <f t="shared" si="34"/>
        <v>125980.03430000001</v>
      </c>
      <c r="AW7" s="3">
        <f t="shared" si="34"/>
        <v>125980.03430000001</v>
      </c>
      <c r="AX7" s="3">
        <f t="shared" si="34"/>
        <v>125980.03430000001</v>
      </c>
      <c r="AY7" s="3">
        <f t="shared" si="34"/>
        <v>125980.03430000001</v>
      </c>
      <c r="AZ7" s="3">
        <f t="shared" si="34"/>
        <v>125980.03430000001</v>
      </c>
      <c r="BA7" s="3">
        <f t="shared" si="34"/>
        <v>125779.03430000001</v>
      </c>
      <c r="BB7" s="3">
        <f t="shared" si="34"/>
        <v>125779.03430000001</v>
      </c>
      <c r="BC7" s="3">
        <f t="shared" si="34"/>
        <v>124967.03430000001</v>
      </c>
      <c r="BD7" s="3">
        <f t="shared" si="34"/>
        <v>124477.03430000001</v>
      </c>
      <c r="BE7" s="3">
        <f t="shared" si="34"/>
        <v>123753.03430000001</v>
      </c>
      <c r="BF7" s="3">
        <f t="shared" si="34"/>
        <v>123561.03430000001</v>
      </c>
      <c r="BG7" s="3">
        <f t="shared" si="34"/>
        <v>122959.03430000001</v>
      </c>
      <c r="BH7" s="3">
        <f t="shared" si="34"/>
        <v>121766.53430000001</v>
      </c>
      <c r="BI7" s="3">
        <f t="shared" si="34"/>
        <v>121338.53430000001</v>
      </c>
      <c r="BJ7" s="3">
        <f t="shared" si="34"/>
        <v>121210.53430000001</v>
      </c>
      <c r="BK7" s="3">
        <f t="shared" si="34"/>
        <v>120840.53430000001</v>
      </c>
      <c r="BL7" s="3">
        <f t="shared" si="34"/>
        <v>120630.99430000002</v>
      </c>
      <c r="BM7" s="3">
        <f t="shared" si="34"/>
        <v>120610.99430000002</v>
      </c>
      <c r="BN7" s="3">
        <f t="shared" si="34"/>
        <v>120245.99430000002</v>
      </c>
      <c r="BO7" s="3">
        <f t="shared" si="34"/>
        <v>119887.99430000002</v>
      </c>
      <c r="BP7" s="3">
        <f t="shared" si="34"/>
        <v>119887.99430000002</v>
      </c>
      <c r="BQ7" s="3">
        <f t="shared" si="34"/>
        <v>119624.99430000002</v>
      </c>
      <c r="BR7" s="3">
        <f t="shared" si="34"/>
        <v>119398.99430000002</v>
      </c>
      <c r="BS7" s="3">
        <f t="shared" si="34"/>
        <v>118717.99430000002</v>
      </c>
      <c r="BT7" s="3">
        <f t="shared" si="34"/>
        <v>118717.99430000002</v>
      </c>
      <c r="BU7" s="3">
        <f t="shared" si="34"/>
        <v>118717.99430000002</v>
      </c>
      <c r="BV7" s="3">
        <f t="shared" si="34"/>
        <v>118717.99430000002</v>
      </c>
      <c r="BW7" s="3">
        <f t="shared" si="34"/>
        <v>118631.99430000002</v>
      </c>
      <c r="BX7" s="3">
        <f t="shared" si="34"/>
        <v>118348.99430000002</v>
      </c>
      <c r="BY7" s="3">
        <f t="shared" si="34"/>
        <v>118135.99430000002</v>
      </c>
      <c r="BZ7" s="3">
        <f t="shared" si="34"/>
        <v>117733.99430000002</v>
      </c>
      <c r="CA7" s="3">
        <f t="shared" si="34"/>
        <v>117340.99430000002</v>
      </c>
      <c r="CB7" s="3">
        <f t="shared" si="34"/>
        <v>117340.99430000002</v>
      </c>
      <c r="CC7" s="3">
        <f t="shared" si="34"/>
        <v>117340.99430000002</v>
      </c>
      <c r="CD7" s="3">
        <f t="shared" si="34"/>
        <v>117340.99430000002</v>
      </c>
      <c r="CE7" s="3">
        <f t="shared" si="34"/>
        <v>117340.99430000002</v>
      </c>
      <c r="CF7" s="3">
        <f t="shared" si="34"/>
        <v>117340.99430000002</v>
      </c>
      <c r="CG7" s="3">
        <f t="shared" si="34"/>
        <v>117340.99430000002</v>
      </c>
      <c r="CH7" s="3">
        <f t="shared" si="34"/>
        <v>117340.99430000002</v>
      </c>
      <c r="CI7" s="3">
        <f t="shared" si="34"/>
        <v>117277.99430000002</v>
      </c>
      <c r="CJ7" s="3">
        <f t="shared" si="34"/>
        <v>117277.99430000002</v>
      </c>
      <c r="CK7" s="3">
        <f t="shared" si="34"/>
        <v>117277.99430000002</v>
      </c>
      <c r="CL7" s="3">
        <f t="shared" si="34"/>
        <v>117277.99430000002</v>
      </c>
      <c r="CM7" s="3">
        <f t="shared" si="34"/>
        <v>117277.99430000002</v>
      </c>
      <c r="CN7" s="3">
        <f t="shared" si="34"/>
        <v>117277.99430000002</v>
      </c>
      <c r="CO7" s="3">
        <f t="shared" si="34"/>
        <v>117277.99430000002</v>
      </c>
      <c r="CP7" s="3">
        <f t="shared" si="34"/>
        <v>117277.99430000002</v>
      </c>
      <c r="CQ7" s="3">
        <f t="shared" si="34"/>
        <v>117277.99430000002</v>
      </c>
      <c r="CR7" s="3">
        <f t="shared" si="34"/>
        <v>117222.99430000002</v>
      </c>
      <c r="CS7" s="3">
        <f t="shared" si="34"/>
        <v>116970.07430000002</v>
      </c>
      <c r="CT7" s="3">
        <f t="shared" si="34"/>
        <v>116652.17430000003</v>
      </c>
      <c r="CU7" s="3">
        <f t="shared" si="34"/>
        <v>116399.37430000002</v>
      </c>
      <c r="CV7" s="3">
        <f t="shared" si="34"/>
        <v>116234.37430000002</v>
      </c>
      <c r="CW7" s="3">
        <f t="shared" si="34"/>
        <v>115944.37430000002</v>
      </c>
      <c r="CX7" s="3">
        <f t="shared" si="34"/>
        <v>115840.37430000002</v>
      </c>
      <c r="CY7" s="3">
        <f t="shared" si="34"/>
        <v>115840.37430000002</v>
      </c>
      <c r="CZ7" s="3">
        <f t="shared" si="34"/>
        <v>115840.37430000002</v>
      </c>
      <c r="DA7" s="3">
        <f t="shared" si="34"/>
        <v>115508.37430000002</v>
      </c>
      <c r="DB7" s="3">
        <f t="shared" si="34"/>
        <v>115352.37430000002</v>
      </c>
      <c r="DC7" s="3">
        <f t="shared" si="34"/>
        <v>114680.37430000002</v>
      </c>
      <c r="DD7" s="3">
        <f t="shared" si="34"/>
        <v>114087.37430000002</v>
      </c>
      <c r="DE7" s="3">
        <f t="shared" si="34"/>
        <v>114087.37430000002</v>
      </c>
      <c r="DF7" s="3">
        <f t="shared" si="34"/>
        <v>113493.37430000002</v>
      </c>
      <c r="DG7" s="3">
        <f t="shared" si="34"/>
        <v>113243.37430000002</v>
      </c>
      <c r="DH7" s="3">
        <f t="shared" si="34"/>
        <v>112672.37430000002</v>
      </c>
      <c r="DI7" s="3">
        <f t="shared" si="34"/>
        <v>110803.01930000003</v>
      </c>
      <c r="DJ7" s="3">
        <f t="shared" si="34"/>
        <v>109638.76930000003</v>
      </c>
      <c r="DK7" s="3">
        <f t="shared" si="34"/>
        <v>107241.16930000002</v>
      </c>
      <c r="DL7" s="3">
        <f t="shared" si="34"/>
        <v>105785.05930000002</v>
      </c>
      <c r="DM7" s="3">
        <f t="shared" si="34"/>
        <v>104272.68930000003</v>
      </c>
      <c r="DN7" s="3">
        <f t="shared" si="34"/>
        <v>102728.41930000002</v>
      </c>
      <c r="DO7" s="3">
        <f t="shared" si="34"/>
        <v>102351.41930000002</v>
      </c>
      <c r="DP7" s="3">
        <f t="shared" si="34"/>
        <v>100449.41930000002</v>
      </c>
      <c r="DQ7" s="3">
        <f t="shared" si="34"/>
        <v>98385.959300000017</v>
      </c>
      <c r="DR7" s="3">
        <f t="shared" si="34"/>
        <v>94159.699300000022</v>
      </c>
      <c r="DS7" s="3">
        <f t="shared" si="34"/>
        <v>92323.499300000025</v>
      </c>
      <c r="DT7" s="3">
        <f t="shared" si="34"/>
        <v>90325.399300000019</v>
      </c>
      <c r="DU7" s="3">
        <f t="shared" si="34"/>
        <v>89518.399300000019</v>
      </c>
      <c r="DV7" s="3">
        <f t="shared" si="34"/>
        <v>89171.399300000019</v>
      </c>
      <c r="DW7" s="3">
        <f t="shared" si="34"/>
        <v>87592.599300000016</v>
      </c>
      <c r="DX7" s="3">
        <f t="shared" si="34"/>
        <v>85334.439300000013</v>
      </c>
      <c r="DY7" s="3">
        <f t="shared" si="34"/>
        <v>83384.809300000008</v>
      </c>
      <c r="DZ7" s="3">
        <f t="shared" si="34"/>
        <v>80614.689300000013</v>
      </c>
      <c r="EA7" s="3">
        <f t="shared" si="34"/>
        <v>80614.689300000013</v>
      </c>
      <c r="EB7" s="3">
        <f t="shared" si="34"/>
        <v>80614.689300000013</v>
      </c>
      <c r="EC7" s="3">
        <f t="shared" si="34"/>
        <v>80239.339300000007</v>
      </c>
      <c r="ED7" s="3">
        <f t="shared" si="34"/>
        <v>78227.119300000006</v>
      </c>
      <c r="EE7" s="3">
        <f t="shared" si="34"/>
        <v>76699.24930000001</v>
      </c>
      <c r="EF7" s="3">
        <f t="shared" si="34"/>
        <v>76380.649300000005</v>
      </c>
      <c r="EG7" s="3">
        <f t="shared" si="34"/>
        <v>75569.149300000005</v>
      </c>
      <c r="EH7" s="3">
        <f t="shared" si="34"/>
        <v>75569.149300000005</v>
      </c>
      <c r="EI7" s="3">
        <f t="shared" si="34"/>
        <v>75569.149300000005</v>
      </c>
      <c r="EJ7" s="3">
        <f t="shared" si="34"/>
        <v>75569.149300000005</v>
      </c>
      <c r="EK7" s="3">
        <f t="shared" si="34"/>
        <v>75569.149300000005</v>
      </c>
      <c r="EL7" s="3">
        <f t="shared" si="34"/>
        <v>75569.149300000005</v>
      </c>
      <c r="EM7" s="3">
        <f t="shared" si="34"/>
        <v>75569.149300000005</v>
      </c>
      <c r="EN7" s="3">
        <f t="shared" si="34"/>
        <v>75569.149300000005</v>
      </c>
      <c r="EO7" s="3">
        <f t="shared" si="34"/>
        <v>75569.149300000005</v>
      </c>
      <c r="EP7" s="3">
        <f t="shared" si="34"/>
        <v>75569.149300000005</v>
      </c>
      <c r="EQ7" s="3">
        <f t="shared" si="34"/>
        <v>75569.149300000005</v>
      </c>
      <c r="ER7" s="3">
        <f t="shared" si="34"/>
        <v>75569.149300000005</v>
      </c>
      <c r="ES7" s="3">
        <f t="shared" si="34"/>
        <v>75569.149300000005</v>
      </c>
      <c r="ET7" s="3">
        <f t="shared" si="34"/>
        <v>75569.149300000005</v>
      </c>
      <c r="EU7" s="3">
        <f t="shared" si="34"/>
        <v>75569.149300000005</v>
      </c>
      <c r="EV7" s="3">
        <f t="shared" si="34"/>
        <v>75569.149300000005</v>
      </c>
      <c r="EW7" s="3">
        <f t="shared" si="34"/>
        <v>75474.149300000005</v>
      </c>
      <c r="EX7" s="3">
        <f t="shared" si="34"/>
        <v>75474.149300000005</v>
      </c>
      <c r="EY7" s="3">
        <f t="shared" si="34"/>
        <v>75474.149300000005</v>
      </c>
      <c r="EZ7" s="3">
        <f t="shared" si="34"/>
        <v>73270.569300000003</v>
      </c>
      <c r="FA7" s="3">
        <f t="shared" si="34"/>
        <v>72635.899300000005</v>
      </c>
      <c r="FB7" s="3">
        <f t="shared" si="34"/>
        <v>72635.899300000005</v>
      </c>
      <c r="FC7" s="3">
        <f t="shared" si="34"/>
        <v>72635.899300000005</v>
      </c>
      <c r="FD7" s="3">
        <f t="shared" si="34"/>
        <v>72635.899300000005</v>
      </c>
      <c r="FE7" s="3">
        <f t="shared" si="34"/>
        <v>72635.899300000005</v>
      </c>
      <c r="FF7" s="3">
        <f t="shared" si="34"/>
        <v>72635.899300000005</v>
      </c>
      <c r="FG7" s="3">
        <f t="shared" si="34"/>
        <v>72635.899300000005</v>
      </c>
      <c r="FH7" s="3">
        <f t="shared" si="34"/>
        <v>72635.899300000005</v>
      </c>
      <c r="FI7" s="3">
        <f t="shared" si="34"/>
        <v>72635.899300000005</v>
      </c>
      <c r="FJ7" s="3">
        <f t="shared" si="34"/>
        <v>72635.899300000005</v>
      </c>
      <c r="FK7" s="3">
        <f t="shared" si="34"/>
        <v>72635.899300000005</v>
      </c>
      <c r="FL7" s="3">
        <f t="shared" si="34"/>
        <v>72635.899300000005</v>
      </c>
      <c r="FM7" s="3">
        <f t="shared" si="34"/>
        <v>72635.899300000005</v>
      </c>
      <c r="FN7" s="3">
        <f t="shared" si="34"/>
        <v>70011.899300000005</v>
      </c>
      <c r="FO7" s="3">
        <f t="shared" si="34"/>
        <v>68649.899300000005</v>
      </c>
      <c r="FP7" s="3">
        <f t="shared" si="34"/>
        <v>67583.439299999998</v>
      </c>
      <c r="FQ7" s="3">
        <f t="shared" si="34"/>
        <v>66413.779299999995</v>
      </c>
      <c r="FR7" s="3">
        <f t="shared" si="34"/>
        <v>64433.509299999991</v>
      </c>
      <c r="FS7" s="3">
        <f t="shared" si="34"/>
        <v>62383.709299999988</v>
      </c>
      <c r="FT7" s="3">
        <f t="shared" si="34"/>
        <v>58856.409299999992</v>
      </c>
      <c r="FU7" s="3">
        <f t="shared" si="34"/>
        <v>54809.489299999994</v>
      </c>
      <c r="FV7" s="3">
        <f t="shared" si="34"/>
        <v>51524.899299999997</v>
      </c>
      <c r="FW7" s="3">
        <f t="shared" si="34"/>
        <v>47912.009299999998</v>
      </c>
      <c r="FX7" s="3">
        <f t="shared" si="34"/>
        <v>46054.539299999997</v>
      </c>
      <c r="FY7" s="3">
        <f t="shared" si="34"/>
        <v>43393.489299999994</v>
      </c>
      <c r="FZ7" s="3">
        <f t="shared" si="34"/>
        <v>42066.539299999997</v>
      </c>
      <c r="GA7" s="3">
        <f t="shared" si="34"/>
        <v>39417.569299999996</v>
      </c>
      <c r="GB7" s="3">
        <f t="shared" si="34"/>
        <v>35232.399299999997</v>
      </c>
      <c r="GC7" s="3">
        <f t="shared" si="34"/>
        <v>32163.579299999994</v>
      </c>
      <c r="GD7" s="3">
        <f t="shared" si="34"/>
        <v>29765.969299999993</v>
      </c>
      <c r="GE7" s="3">
        <f t="shared" si="34"/>
        <v>26568.049299999995</v>
      </c>
      <c r="GF7" s="3">
        <f t="shared" si="34"/>
        <v>23873.409299999996</v>
      </c>
      <c r="GG7" s="3">
        <f t="shared" si="34"/>
        <v>21004.699299999997</v>
      </c>
      <c r="GH7" s="3">
        <f t="shared" si="34"/>
        <v>18863.936299999998</v>
      </c>
      <c r="GI7" s="3">
        <f t="shared" si="34"/>
        <v>16575.926299999999</v>
      </c>
      <c r="GJ7" s="3">
        <f t="shared" si="34"/>
        <v>15406.1363</v>
      </c>
      <c r="GK7" s="3">
        <f t="shared" si="34"/>
        <v>14823.1363</v>
      </c>
      <c r="GL7" s="3">
        <f t="shared" si="34"/>
        <v>14542.1363</v>
      </c>
      <c r="GM7" s="3">
        <f t="shared" si="34"/>
        <v>14398.1363</v>
      </c>
      <c r="GN7" s="3">
        <f t="shared" si="34"/>
        <v>14398.1363</v>
      </c>
      <c r="GO7" s="3">
        <f t="shared" si="34"/>
        <v>13891.6723</v>
      </c>
      <c r="GP7" s="3">
        <f t="shared" si="34"/>
        <v>13761.6723</v>
      </c>
      <c r="GQ7" s="3">
        <f t="shared" si="34"/>
        <v>13650.9023</v>
      </c>
      <c r="GR7" s="3">
        <f t="shared" si="34"/>
        <v>12685.9023</v>
      </c>
      <c r="GS7" s="3">
        <f t="shared" si="34"/>
        <v>12685.9023</v>
      </c>
      <c r="GT7" s="3">
        <f t="shared" si="34"/>
        <v>12077.9023</v>
      </c>
      <c r="GU7" s="3">
        <f t="shared" si="34"/>
        <v>11176.9023</v>
      </c>
      <c r="GV7" s="3">
        <f t="shared" si="34"/>
        <v>11156.9023</v>
      </c>
      <c r="GW7" s="3">
        <f t="shared" si="34"/>
        <v>10738.9023</v>
      </c>
      <c r="GX7" s="3">
        <f t="shared" si="34"/>
        <v>9203.4382999999998</v>
      </c>
      <c r="GY7" s="3">
        <f t="shared" si="34"/>
        <v>8986.8382999999994</v>
      </c>
      <c r="GZ7" s="3">
        <f t="shared" si="34"/>
        <v>8438.8382999999994</v>
      </c>
      <c r="HA7" s="3">
        <f t="shared" si="34"/>
        <v>7804.8203000000003</v>
      </c>
      <c r="HB7" s="3">
        <f t="shared" si="34"/>
        <v>7362.4573</v>
      </c>
      <c r="HC7" s="3">
        <f t="shared" si="34"/>
        <v>7003.4088000000002</v>
      </c>
      <c r="HD7" s="3">
        <f t="shared" si="34"/>
        <v>5505.3757999999998</v>
      </c>
      <c r="HE7" s="3">
        <f t="shared" si="34"/>
        <v>4017.1049999999996</v>
      </c>
      <c r="HF7" s="3">
        <f t="shared" si="34"/>
        <v>4007.1049999999996</v>
      </c>
      <c r="HG7" s="3">
        <f t="shared" si="34"/>
        <v>2390.9669999999996</v>
      </c>
      <c r="HH7" s="3">
        <f t="shared" si="34"/>
        <v>209.6</v>
      </c>
      <c r="HI7" s="3">
        <f t="shared" si="34"/>
        <v>0</v>
      </c>
      <c r="HJ7" s="3"/>
      <c r="HK7" s="3"/>
    </row>
    <row r="8" spans="1:231" ht="14.25" x14ac:dyDescent="0.2"/>
    <row r="12" spans="1:231" ht="15.75" customHeight="1" x14ac:dyDescent="0.2"/>
    <row r="13" spans="1:231" ht="15.75" customHeight="1" x14ac:dyDescent="0.2"/>
    <row r="14" spans="1:231" ht="15.75" customHeight="1" x14ac:dyDescent="0.2"/>
    <row r="15" spans="1:231" ht="15.75" customHeight="1" x14ac:dyDescent="0.2"/>
    <row r="16" spans="1:231" ht="15.75" customHeight="1" x14ac:dyDescent="0.2"/>
    <row r="17" spans="2:231" ht="15.75" customHeight="1" x14ac:dyDescent="0.2"/>
    <row r="18" spans="2:231" ht="15.75" customHeight="1" x14ac:dyDescent="0.2"/>
    <row r="19" spans="2:231" ht="15.75" customHeight="1" x14ac:dyDescent="0.2"/>
    <row r="20" spans="2:231" ht="15.75" customHeight="1" x14ac:dyDescent="0.2"/>
    <row r="21" spans="2:231" ht="15.75" customHeight="1" x14ac:dyDescent="0.2"/>
    <row r="22" spans="2:231" ht="15.75" customHeight="1" x14ac:dyDescent="0.2"/>
    <row r="23" spans="2:231" ht="15.75" customHeight="1" x14ac:dyDescent="0.2"/>
    <row r="24" spans="2:231" ht="15.75" customHeight="1" x14ac:dyDescent="0.25">
      <c r="B24" s="19"/>
      <c r="CQ24" s="2"/>
      <c r="CR24" s="2"/>
      <c r="CT24" s="2"/>
      <c r="CU24" s="2"/>
      <c r="CV24" s="2"/>
      <c r="CW24" s="2"/>
      <c r="CX24" s="2"/>
    </row>
    <row r="25" spans="2:231" ht="15.75" customHeight="1" x14ac:dyDescent="0.25">
      <c r="B25" s="19"/>
      <c r="CQ25" s="2"/>
      <c r="CR25" s="2"/>
      <c r="CT25" s="2"/>
      <c r="CU25" s="2"/>
      <c r="CV25" s="2"/>
      <c r="CW25" s="2"/>
      <c r="CX25" s="2"/>
    </row>
    <row r="26" spans="2:231" ht="15.75" customHeight="1" x14ac:dyDescent="0.25">
      <c r="B26" s="19"/>
      <c r="CQ26" s="2"/>
      <c r="CR26" s="2"/>
      <c r="CT26" s="2"/>
      <c r="CU26" s="2"/>
      <c r="CV26" s="2"/>
      <c r="CW26" s="2"/>
      <c r="CX26" s="2"/>
    </row>
    <row r="27" spans="2:231" ht="15.75" customHeight="1" x14ac:dyDescent="0.25">
      <c r="B27" s="19"/>
      <c r="CQ27" s="2"/>
      <c r="CR27" s="2"/>
      <c r="CT27" s="2"/>
      <c r="CU27" s="2"/>
      <c r="CV27" s="2"/>
      <c r="CW27" s="2"/>
      <c r="CX27" s="2"/>
    </row>
    <row r="28" spans="2:231" ht="15.75" customHeight="1" x14ac:dyDescent="0.25">
      <c r="B28" s="1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2:231" ht="15.75" customHeight="1" x14ac:dyDescent="0.25">
      <c r="B29" s="19"/>
      <c r="CQ29" s="2"/>
      <c r="CR29" s="2"/>
      <c r="CT29" s="2"/>
      <c r="CU29" s="2"/>
      <c r="CV29" s="2"/>
      <c r="CW29" s="2"/>
      <c r="CX29" s="2"/>
    </row>
    <row r="30" spans="2:231" ht="15.75" customHeight="1" x14ac:dyDescent="0.25">
      <c r="B30" s="19"/>
      <c r="CQ30" s="2"/>
      <c r="CR30" s="2"/>
      <c r="CT30" s="2"/>
      <c r="CU30" s="2"/>
      <c r="CV30" s="2"/>
      <c r="CW30" s="2"/>
      <c r="CX30" s="2"/>
    </row>
    <row r="31" spans="2:231" ht="15.75" customHeight="1" x14ac:dyDescent="0.25">
      <c r="B31" s="19"/>
      <c r="CQ31" s="2"/>
      <c r="CR31" s="2"/>
      <c r="CT31" s="2"/>
      <c r="CU31" s="2"/>
      <c r="CV31" s="2"/>
      <c r="CW31" s="2"/>
      <c r="CX31" s="2"/>
    </row>
    <row r="32" spans="2:231" ht="15.75" customHeight="1" x14ac:dyDescent="0.25">
      <c r="B32" s="19"/>
      <c r="CQ32" s="2"/>
      <c r="CR32" s="2"/>
      <c r="CT32" s="2"/>
      <c r="CU32" s="2"/>
      <c r="CV32" s="2"/>
      <c r="CW32" s="2"/>
      <c r="CX32" s="2"/>
    </row>
    <row r="33" spans="2:102" ht="15.75" customHeight="1" x14ac:dyDescent="0.25">
      <c r="B33" s="19"/>
      <c r="CQ33" s="2"/>
      <c r="CR33" s="2"/>
      <c r="CT33" s="2"/>
      <c r="CU33" s="2"/>
      <c r="CV33" s="2"/>
      <c r="CW33" s="2"/>
      <c r="CX33" s="2"/>
    </row>
    <row r="34" spans="2:102" ht="15.75" customHeight="1" x14ac:dyDescent="0.25">
      <c r="B34" s="19"/>
      <c r="CQ34" s="2"/>
      <c r="CR34" s="2"/>
      <c r="CT34" s="2"/>
      <c r="CU34" s="2"/>
      <c r="CV34" s="2"/>
      <c r="CW34" s="2"/>
      <c r="CX34" s="2"/>
    </row>
    <row r="35" spans="2:102" ht="15.75" customHeight="1" x14ac:dyDescent="0.25">
      <c r="B35" s="19"/>
      <c r="CQ35" s="2"/>
      <c r="CR35" s="2"/>
      <c r="CT35" s="2"/>
      <c r="CU35" s="2"/>
      <c r="CV35" s="2"/>
      <c r="CW35" s="2"/>
      <c r="CX35" s="2"/>
    </row>
    <row r="36" spans="2:102" ht="15.75" customHeight="1" x14ac:dyDescent="0.25">
      <c r="B36" s="19"/>
      <c r="CQ36" s="2"/>
      <c r="CR36" s="2"/>
      <c r="CT36" s="2"/>
      <c r="CU36" s="2"/>
      <c r="CV36" s="2"/>
      <c r="CW36" s="2"/>
      <c r="CX36" s="2"/>
    </row>
    <row r="37" spans="2:102" ht="15.75" customHeight="1" x14ac:dyDescent="0.25">
      <c r="B37" s="19"/>
      <c r="Z37" s="20"/>
      <c r="AA37" s="20"/>
      <c r="AB37" s="20"/>
      <c r="CQ37" s="2"/>
      <c r="CR37" s="2"/>
      <c r="CT37" s="2"/>
      <c r="CU37" s="2"/>
      <c r="CV37" s="2"/>
      <c r="CW37" s="2"/>
      <c r="CX37" s="2"/>
    </row>
    <row r="38" spans="2:102" ht="15.75" customHeight="1" x14ac:dyDescent="0.25">
      <c r="B38" s="19"/>
      <c r="Z38" s="20"/>
      <c r="AA38" s="20"/>
      <c r="AB38" s="20"/>
      <c r="CQ38" s="2"/>
      <c r="CR38" s="2"/>
      <c r="CT38" s="2"/>
      <c r="CU38" s="2"/>
      <c r="CV38" s="2"/>
      <c r="CW38" s="2"/>
      <c r="CX38" s="2"/>
    </row>
    <row r="39" spans="2:102" ht="15.75" customHeight="1" x14ac:dyDescent="0.25">
      <c r="B39" s="19"/>
      <c r="Z39" s="20"/>
      <c r="AA39" s="20"/>
      <c r="AB39" s="20"/>
      <c r="CQ39" s="2"/>
      <c r="CR39" s="2"/>
      <c r="CT39" s="2"/>
      <c r="CU39" s="2"/>
      <c r="CV39" s="2"/>
      <c r="CW39" s="2"/>
      <c r="CX39" s="2"/>
    </row>
    <row r="40" spans="2:102" ht="15.75" customHeight="1" x14ac:dyDescent="0.25">
      <c r="B40" s="19"/>
      <c r="Z40" s="20"/>
      <c r="AA40" s="20"/>
      <c r="AB40" s="20"/>
      <c r="CQ40" s="2"/>
      <c r="CR40" s="2"/>
      <c r="CT40" s="2"/>
      <c r="CU40" s="2"/>
      <c r="CV40" s="2"/>
      <c r="CW40" s="2"/>
      <c r="CX40" s="2"/>
    </row>
    <row r="41" spans="2:102" ht="15.75" customHeight="1" x14ac:dyDescent="0.25">
      <c r="B41" s="19"/>
      <c r="Z41" s="20"/>
      <c r="AA41" s="20"/>
      <c r="AB41" s="20"/>
      <c r="CQ41" s="2"/>
      <c r="CR41" s="2"/>
      <c r="CT41" s="2"/>
      <c r="CU41" s="2"/>
      <c r="CV41" s="2"/>
      <c r="CW41" s="2"/>
      <c r="CX41" s="2"/>
    </row>
    <row r="42" spans="2:102" ht="15.75" customHeight="1" x14ac:dyDescent="0.25">
      <c r="B42" s="19"/>
      <c r="CQ42" s="2"/>
      <c r="CR42" s="2"/>
      <c r="CT42" s="2"/>
      <c r="CU42" s="2"/>
      <c r="CV42" s="2"/>
      <c r="CW42" s="2"/>
      <c r="CX42" s="2"/>
    </row>
    <row r="43" spans="2:102" ht="15.75" customHeight="1" x14ac:dyDescent="0.25">
      <c r="B43" s="19"/>
      <c r="CQ43" s="2"/>
      <c r="CR43" s="2"/>
      <c r="CT43" s="2"/>
      <c r="CU43" s="2"/>
      <c r="CV43" s="2"/>
      <c r="CW43" s="2"/>
      <c r="CX43" s="2"/>
    </row>
    <row r="44" spans="2:102" ht="15.75" customHeight="1" x14ac:dyDescent="0.25">
      <c r="B44" s="19"/>
      <c r="CQ44" s="2"/>
      <c r="CR44" s="2"/>
      <c r="CT44" s="2"/>
      <c r="CU44" s="2"/>
      <c r="CV44" s="2"/>
      <c r="CW44" s="2"/>
      <c r="CX44" s="2"/>
    </row>
    <row r="45" spans="2:102" ht="15.75" customHeight="1" x14ac:dyDescent="0.25">
      <c r="B45" s="19"/>
      <c r="CQ45" s="2"/>
      <c r="CR45" s="2"/>
      <c r="CT45" s="2"/>
      <c r="CU45" s="2"/>
      <c r="CV45" s="2"/>
      <c r="CW45" s="2"/>
      <c r="CX45" s="2"/>
    </row>
    <row r="46" spans="2:102" ht="15.75" customHeight="1" x14ac:dyDescent="0.25">
      <c r="B46" s="19"/>
      <c r="CQ46" s="2"/>
      <c r="CR46" s="2"/>
      <c r="CT46" s="2"/>
      <c r="CU46" s="2"/>
      <c r="CV46" s="2"/>
      <c r="CW46" s="2"/>
      <c r="CX46" s="2"/>
    </row>
    <row r="47" spans="2:102" ht="15.75" customHeight="1" x14ac:dyDescent="0.25">
      <c r="B47" s="19"/>
      <c r="CQ47" s="2"/>
      <c r="CT47" s="2"/>
    </row>
    <row r="48" spans="2:102" ht="15.75" customHeight="1" x14ac:dyDescent="0.25">
      <c r="B48" s="19"/>
      <c r="CQ48" s="2"/>
      <c r="CT48" s="2"/>
    </row>
    <row r="49" spans="2:98" ht="15.75" customHeight="1" x14ac:dyDescent="0.25">
      <c r="B49" s="19"/>
      <c r="CQ49" s="2"/>
      <c r="CT49" s="2"/>
    </row>
    <row r="50" spans="2:98" ht="15.75" customHeight="1" x14ac:dyDescent="0.25">
      <c r="B50" s="19"/>
      <c r="CQ50" s="2"/>
      <c r="CT50" s="2"/>
    </row>
    <row r="51" spans="2:98" ht="15.75" customHeight="1" x14ac:dyDescent="0.25">
      <c r="B51" s="19"/>
      <c r="CQ51" s="2"/>
      <c r="CT51" s="2"/>
    </row>
    <row r="52" spans="2:98" ht="15.75" customHeight="1" x14ac:dyDescent="0.25">
      <c r="B52" s="19"/>
      <c r="CQ52" s="2"/>
      <c r="CT52" s="2"/>
    </row>
    <row r="53" spans="2:98" ht="15.75" customHeight="1" x14ac:dyDescent="0.25">
      <c r="B53" s="19"/>
      <c r="CQ53" s="2"/>
      <c r="CT53" s="2"/>
    </row>
    <row r="54" spans="2:98" ht="15.75" customHeight="1" x14ac:dyDescent="0.25">
      <c r="B54" s="19"/>
      <c r="CQ54" s="2"/>
      <c r="CT54" s="2"/>
    </row>
    <row r="55" spans="2:98" ht="15.75" customHeight="1" x14ac:dyDescent="0.25">
      <c r="B55" s="19"/>
      <c r="CT55" s="2"/>
    </row>
    <row r="56" spans="2:98" ht="15.75" customHeight="1" x14ac:dyDescent="0.25">
      <c r="B56" s="19"/>
      <c r="CT56" s="2"/>
    </row>
    <row r="57" spans="2:98" ht="15.75" customHeight="1" x14ac:dyDescent="0.25">
      <c r="B57" s="19"/>
      <c r="CT57" s="2"/>
    </row>
    <row r="58" spans="2:98" ht="15.75" customHeight="1" x14ac:dyDescent="0.2">
      <c r="B58" s="19"/>
    </row>
    <row r="59" spans="2:98" ht="15.75" customHeight="1" x14ac:dyDescent="0.2">
      <c r="B59" s="19"/>
    </row>
    <row r="60" spans="2:98" ht="15.75" customHeight="1" x14ac:dyDescent="0.2">
      <c r="B60" s="19"/>
    </row>
    <row r="61" spans="2:98" ht="15.75" customHeight="1" x14ac:dyDescent="0.2">
      <c r="B61" s="19"/>
    </row>
    <row r="62" spans="2:98" ht="15.75" customHeight="1" x14ac:dyDescent="0.2">
      <c r="B62" s="19"/>
    </row>
    <row r="63" spans="2:98" ht="15.75" customHeight="1" x14ac:dyDescent="0.2">
      <c r="B63" s="19"/>
    </row>
    <row r="64" spans="2:98" ht="15.75" customHeight="1" x14ac:dyDescent="0.2">
      <c r="B64" s="19"/>
    </row>
    <row r="65" spans="2:2" ht="15.75" customHeight="1" x14ac:dyDescent="0.2">
      <c r="B65" s="19"/>
    </row>
    <row r="66" spans="2:2" ht="15.75" customHeight="1" x14ac:dyDescent="0.2">
      <c r="B66" s="19"/>
    </row>
    <row r="67" spans="2:2" ht="15.75" customHeight="1" x14ac:dyDescent="0.2">
      <c r="B67" s="19"/>
    </row>
    <row r="68" spans="2:2" ht="15.75" customHeight="1" x14ac:dyDescent="0.2">
      <c r="B68" s="19"/>
    </row>
    <row r="69" spans="2:2" ht="15.75" customHeight="1" x14ac:dyDescent="0.2">
      <c r="B69" s="19"/>
    </row>
    <row r="70" spans="2:2" ht="15.75" customHeight="1" x14ac:dyDescent="0.2">
      <c r="B70" s="19"/>
    </row>
    <row r="71" spans="2:2" ht="15.75" customHeight="1" x14ac:dyDescent="0.2">
      <c r="B71" s="19"/>
    </row>
    <row r="72" spans="2:2" ht="15.75" customHeight="1" x14ac:dyDescent="0.2">
      <c r="B72" s="19"/>
    </row>
    <row r="73" spans="2:2" ht="15.75" customHeight="1" x14ac:dyDescent="0.2">
      <c r="B73" s="19"/>
    </row>
    <row r="74" spans="2:2" ht="15.75" customHeight="1" x14ac:dyDescent="0.2">
      <c r="B74" s="19"/>
    </row>
    <row r="75" spans="2:2" ht="15.75" customHeight="1" x14ac:dyDescent="0.2">
      <c r="B75" s="19"/>
    </row>
    <row r="76" spans="2:2" ht="15.75" customHeight="1" x14ac:dyDescent="0.2">
      <c r="B76" s="19"/>
    </row>
    <row r="77" spans="2:2" ht="15.75" customHeight="1" x14ac:dyDescent="0.2">
      <c r="B77" s="19"/>
    </row>
    <row r="78" spans="2:2" ht="15.75" customHeight="1" x14ac:dyDescent="0.2">
      <c r="B78" s="19"/>
    </row>
    <row r="79" spans="2:2" ht="15.75" customHeight="1" x14ac:dyDescent="0.2">
      <c r="B79" s="19"/>
    </row>
    <row r="80" spans="2:2" ht="15.75" customHeight="1" x14ac:dyDescent="0.2">
      <c r="B80" s="19"/>
    </row>
    <row r="81" spans="2:2" ht="15.75" customHeight="1" x14ac:dyDescent="0.2">
      <c r="B81" s="19"/>
    </row>
    <row r="82" spans="2:2" ht="15.75" customHeight="1" x14ac:dyDescent="0.2"/>
    <row r="83" spans="2:2" ht="15.75" customHeight="1" x14ac:dyDescent="0.2"/>
    <row r="84" spans="2:2" ht="15.75" customHeight="1" x14ac:dyDescent="0.2"/>
    <row r="85" spans="2:2" ht="15.75" customHeight="1" x14ac:dyDescent="0.2"/>
    <row r="86" spans="2:2" ht="15.75" customHeight="1" x14ac:dyDescent="0.2"/>
    <row r="87" spans="2:2" ht="15.75" customHeight="1" x14ac:dyDescent="0.2"/>
    <row r="88" spans="2:2" ht="15.75" customHeight="1" x14ac:dyDescent="0.2"/>
    <row r="89" spans="2:2" ht="15.75" customHeight="1" x14ac:dyDescent="0.2"/>
    <row r="90" spans="2:2" ht="15.75" customHeight="1" x14ac:dyDescent="0.2"/>
    <row r="91" spans="2:2" ht="15.75" customHeight="1" x14ac:dyDescent="0.2"/>
    <row r="92" spans="2:2" ht="15.75" customHeight="1" x14ac:dyDescent="0.2"/>
    <row r="93" spans="2:2" ht="15.75" customHeight="1" x14ac:dyDescent="0.2"/>
    <row r="94" spans="2:2" ht="15.75" customHeight="1" x14ac:dyDescent="0.2"/>
    <row r="95" spans="2:2" ht="15.75" customHeight="1" x14ac:dyDescent="0.2"/>
    <row r="96" spans="2: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</vt:lpstr>
      <vt:lpstr>DISTRIBUTIONS</vt:lpstr>
      <vt:lpstr>Sell Volume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Simpson</dc:creator>
  <cp:lastModifiedBy>null</cp:lastModifiedBy>
  <dcterms:created xsi:type="dcterms:W3CDTF">2019-09-03T19:58:34Z</dcterms:created>
  <dcterms:modified xsi:type="dcterms:W3CDTF">2020-03-07T02:48:29Z</dcterms:modified>
</cp:coreProperties>
</file>